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ISTRATION\Operations\FINANCE\Budget\Budget 2020\"/>
    </mc:Choice>
  </mc:AlternateContent>
  <bookViews>
    <workbookView xWindow="4092" yWindow="348" windowWidth="10992" windowHeight="6840"/>
  </bookViews>
  <sheets>
    <sheet name="Total" sheetId="1" r:id="rId1"/>
    <sheet name="Total by month" sheetId="4" r:id="rId2"/>
    <sheet name="Support Housing" sheetId="2" r:id="rId3"/>
    <sheet name="APTS" sheetId="9" r:id="rId4"/>
    <sheet name="MIDTOWN" sheetId="8" r:id="rId5"/>
    <sheet name="Terrace" sheetId="28" r:id="rId6"/>
    <sheet name="Marshall" sheetId="32" r:id="rId7"/>
    <sheet name="FC TOTAL" sheetId="7" r:id="rId8"/>
    <sheet name="Damiano" sheetId="6" r:id="rId9"/>
    <sheet name="Grace" sheetId="14" r:id="rId10"/>
    <sheet name="Agape Home" sheetId="13" r:id="rId11"/>
    <sheet name="AGAPE DOS" sheetId="12" r:id="rId12"/>
    <sheet name="SS Total" sheetId="11" r:id="rId13"/>
    <sheet name="Cornerstone" sheetId="10" r:id="rId14"/>
    <sheet name="SPOL" sheetId="5" r:id="rId15"/>
    <sheet name="Hamline" sheetId="18" r:id="rId16"/>
    <sheet name="BlueLine" sheetId="31" r:id="rId17"/>
    <sheet name="MPLSHOPWA1" sheetId="34" r:id="rId18"/>
    <sheet name="MPLSHOPWA2" sheetId="33" r:id="rId19"/>
    <sheet name="Comms" sheetId="17" r:id="rId20"/>
    <sheet name="Fundraising" sheetId="16" r:id="rId21"/>
    <sheet name="Proj Dev" sheetId="15" r:id="rId22"/>
    <sheet name="Admin_Total" sheetId="3" r:id="rId23"/>
    <sheet name="Admin-Gen" sheetId="25" r:id="rId24"/>
    <sheet name="Admin-Board" sheetId="24" r:id="rId25"/>
    <sheet name="Admin-ED" sheetId="23" r:id="rId26"/>
    <sheet name="Agape Sale" sheetId="19" r:id="rId27"/>
    <sheet name="CADI" sheetId="21" r:id="rId28"/>
    <sheet name="HC CADI RATES Comp" sheetId="37" r:id="rId29"/>
    <sheet name="Sheet22" sheetId="38" r:id="rId30"/>
    <sheet name="Health insurance" sheetId="30" r:id="rId31"/>
    <sheet name="Sheet2" sheetId="36" r:id="rId32"/>
  </sheets>
  <externalReferences>
    <externalReference r:id="rId33"/>
  </externalReferences>
  <definedNames>
    <definedName name="_xlnm.Print_Area" localSheetId="0">Total!$A$1:$O$114</definedName>
    <definedName name="_xlnm.Print_Titles" localSheetId="0">Total!$3:$4</definedName>
  </definedNames>
  <calcPr calcId="152511"/>
</workbook>
</file>

<file path=xl/calcChain.xml><?xml version="1.0" encoding="utf-8"?>
<calcChain xmlns="http://schemas.openxmlformats.org/spreadsheetml/2006/main">
  <c r="O38" i="34" l="1"/>
  <c r="N38" i="34"/>
  <c r="M38" i="34"/>
  <c r="L38" i="34"/>
  <c r="K38" i="34"/>
  <c r="J38" i="34"/>
  <c r="I38" i="34"/>
  <c r="H38" i="34"/>
  <c r="G38" i="34"/>
  <c r="F38" i="34"/>
  <c r="E38" i="34"/>
  <c r="D38" i="34"/>
  <c r="O39" i="10"/>
  <c r="N39" i="10"/>
  <c r="M39" i="10"/>
  <c r="L39" i="10"/>
  <c r="K39" i="10"/>
  <c r="J39" i="10"/>
  <c r="I39" i="10"/>
  <c r="H39" i="10"/>
  <c r="G39" i="10"/>
  <c r="F39" i="10"/>
  <c r="E39" i="10"/>
  <c r="D39" i="10"/>
  <c r="O38" i="12"/>
  <c r="N38" i="12"/>
  <c r="M38" i="12"/>
  <c r="L38" i="12"/>
  <c r="K38" i="12"/>
  <c r="J38" i="12"/>
  <c r="I38" i="12"/>
  <c r="H38" i="12"/>
  <c r="G38" i="12"/>
  <c r="F38" i="12"/>
  <c r="E38" i="12"/>
  <c r="D38" i="12"/>
  <c r="O38" i="14"/>
  <c r="N38" i="14"/>
  <c r="M38" i="14"/>
  <c r="L38" i="14"/>
  <c r="K38" i="14"/>
  <c r="J38" i="14"/>
  <c r="I38" i="14"/>
  <c r="H38" i="14"/>
  <c r="G38" i="14"/>
  <c r="F38" i="14"/>
  <c r="E38" i="14"/>
  <c r="D38" i="14"/>
  <c r="O38" i="6"/>
  <c r="N38" i="6"/>
  <c r="M38" i="6"/>
  <c r="L38" i="6"/>
  <c r="K38" i="6"/>
  <c r="J38" i="6"/>
  <c r="I38" i="6"/>
  <c r="H38" i="6"/>
  <c r="G38" i="6"/>
  <c r="F38" i="6"/>
  <c r="E38" i="6"/>
  <c r="D38" i="6"/>
  <c r="O38" i="32"/>
  <c r="N38" i="32"/>
  <c r="M38" i="32"/>
  <c r="L38" i="32"/>
  <c r="K38" i="32"/>
  <c r="J38" i="32"/>
  <c r="I38" i="32"/>
  <c r="H38" i="32"/>
  <c r="G38" i="32"/>
  <c r="F38" i="32"/>
  <c r="E38" i="32"/>
  <c r="D38" i="32"/>
  <c r="O38" i="28"/>
  <c r="N38" i="28"/>
  <c r="M38" i="28"/>
  <c r="L38" i="28"/>
  <c r="K38" i="28"/>
  <c r="J38" i="28"/>
  <c r="I38" i="28"/>
  <c r="H38" i="28"/>
  <c r="G38" i="28"/>
  <c r="F38" i="28"/>
  <c r="E38" i="28"/>
  <c r="D38" i="28"/>
  <c r="O38" i="8"/>
  <c r="N38" i="8"/>
  <c r="M38" i="8"/>
  <c r="L38" i="8"/>
  <c r="K38" i="8"/>
  <c r="J38" i="8"/>
  <c r="I38" i="8"/>
  <c r="H38" i="8"/>
  <c r="G38" i="8"/>
  <c r="F38" i="8"/>
  <c r="E38" i="8"/>
  <c r="D38" i="8"/>
  <c r="D38" i="9"/>
  <c r="E38" i="9"/>
  <c r="O38" i="9"/>
  <c r="N38" i="9"/>
  <c r="M38" i="9"/>
  <c r="L38" i="9"/>
  <c r="K38" i="9"/>
  <c r="J38" i="9"/>
  <c r="I38" i="9"/>
  <c r="H38" i="9"/>
  <c r="G38" i="9"/>
  <c r="F38" i="9"/>
  <c r="O38" i="17"/>
  <c r="N38" i="17"/>
  <c r="M38" i="17"/>
  <c r="L38" i="17"/>
  <c r="K38" i="17"/>
  <c r="J38" i="17"/>
  <c r="I38" i="17"/>
  <c r="H38" i="17"/>
  <c r="G38" i="17"/>
  <c r="F38" i="17"/>
  <c r="E38" i="17"/>
  <c r="D38" i="17"/>
  <c r="O38" i="16"/>
  <c r="N38" i="16"/>
  <c r="M38" i="16"/>
  <c r="L38" i="16"/>
  <c r="K38" i="16"/>
  <c r="J38" i="16"/>
  <c r="I38" i="16"/>
  <c r="H38" i="16"/>
  <c r="G38" i="16"/>
  <c r="F38" i="16"/>
  <c r="E38" i="16"/>
  <c r="D38" i="16"/>
  <c r="E38" i="25"/>
  <c r="F38" i="25"/>
  <c r="G38" i="25"/>
  <c r="H38" i="25"/>
  <c r="I38" i="25"/>
  <c r="J38" i="25"/>
  <c r="K38" i="25"/>
  <c r="L38" i="25"/>
  <c r="M38" i="25"/>
  <c r="N38" i="25"/>
  <c r="O38" i="25"/>
  <c r="D38" i="25"/>
  <c r="O40" i="17"/>
  <c r="N40" i="17"/>
  <c r="M40" i="17"/>
  <c r="L40" i="17"/>
  <c r="K40" i="17"/>
  <c r="J40" i="17"/>
  <c r="I40" i="17"/>
  <c r="H40" i="17"/>
  <c r="G40" i="17"/>
  <c r="F40" i="17"/>
  <c r="E40" i="17"/>
  <c r="D40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F86" i="13" l="1"/>
  <c r="D86" i="13"/>
  <c r="O14" i="32" l="1"/>
  <c r="N14" i="32"/>
  <c r="M14" i="32"/>
  <c r="L14" i="32"/>
  <c r="K14" i="32"/>
  <c r="J14" i="32"/>
  <c r="I14" i="32"/>
  <c r="H14" i="32"/>
  <c r="G14" i="32"/>
  <c r="F14" i="32"/>
  <c r="E14" i="32"/>
  <c r="D14" i="32"/>
  <c r="O16" i="28"/>
  <c r="N16" i="28"/>
  <c r="M16" i="28"/>
  <c r="L16" i="28"/>
  <c r="K16" i="28"/>
  <c r="I16" i="28"/>
  <c r="H16" i="28"/>
  <c r="G16" i="28"/>
  <c r="F16" i="28"/>
  <c r="E16" i="28"/>
  <c r="D16" i="28"/>
  <c r="J16" i="28"/>
  <c r="G21" i="21" l="1"/>
  <c r="K21" i="21" s="1"/>
  <c r="C23" i="21"/>
  <c r="Z24" i="8"/>
  <c r="Z28" i="8" s="1"/>
  <c r="Z29" i="8" s="1"/>
  <c r="Z30" i="8" s="1"/>
  <c r="Z21" i="8"/>
  <c r="V20" i="8"/>
  <c r="V22" i="8" s="1"/>
  <c r="V24" i="8" s="1"/>
  <c r="V27" i="8" s="1"/>
  <c r="X14" i="8"/>
  <c r="X16" i="8" s="1"/>
  <c r="V14" i="8"/>
  <c r="T14" i="8"/>
  <c r="T16" i="8" s="1"/>
  <c r="Z12" i="8"/>
  <c r="Z11" i="8"/>
  <c r="Z10" i="8"/>
  <c r="Z14" i="8" s="1"/>
  <c r="Z16" i="8" s="1"/>
  <c r="W21" i="21" l="1"/>
  <c r="Q21" i="21"/>
  <c r="P21" i="21"/>
  <c r="U21" i="21"/>
  <c r="M21" i="21"/>
  <c r="T21" i="21"/>
  <c r="N21" i="21"/>
  <c r="R21" i="21"/>
  <c r="V21" i="21"/>
  <c r="O21" i="21"/>
  <c r="S21" i="21"/>
  <c r="V31" i="8"/>
  <c r="V33" i="8" s="1"/>
  <c r="V37" i="8" s="1"/>
  <c r="V16" i="8"/>
  <c r="Z25" i="8"/>
  <c r="I38" i="30" l="1"/>
  <c r="G35" i="30"/>
  <c r="E35" i="30"/>
  <c r="I34" i="30"/>
  <c r="I29" i="30"/>
  <c r="E29" i="30"/>
  <c r="E32" i="30" s="1"/>
  <c r="E34" i="30" s="1"/>
  <c r="E38" i="30" s="1"/>
  <c r="I28" i="30"/>
  <c r="I25" i="30"/>
  <c r="G25" i="30"/>
  <c r="G28" i="30" s="1"/>
  <c r="G29" i="30" s="1"/>
  <c r="G32" i="30" s="1"/>
  <c r="G34" i="30" s="1"/>
  <c r="G38" i="30" s="1"/>
  <c r="E25" i="30"/>
  <c r="I24" i="30"/>
  <c r="P16" i="30"/>
  <c r="P12" i="30"/>
  <c r="P9" i="30"/>
  <c r="P8" i="30"/>
  <c r="I40" i="30" l="1"/>
  <c r="G40" i="30"/>
  <c r="O40" i="9"/>
  <c r="N40" i="9"/>
  <c r="M40" i="9"/>
  <c r="L40" i="9"/>
  <c r="K40" i="9"/>
  <c r="J40" i="9"/>
  <c r="I40" i="9"/>
  <c r="H40" i="9"/>
  <c r="G40" i="9"/>
  <c r="F40" i="9"/>
  <c r="E40" i="9"/>
  <c r="D40" i="9"/>
  <c r="O39" i="9"/>
  <c r="N39" i="9"/>
  <c r="M39" i="9"/>
  <c r="L39" i="9"/>
  <c r="K39" i="9"/>
  <c r="J39" i="9"/>
  <c r="I39" i="9"/>
  <c r="H39" i="9"/>
  <c r="G39" i="9"/>
  <c r="F39" i="9"/>
  <c r="E39" i="9"/>
  <c r="D39" i="9"/>
  <c r="O40" i="8"/>
  <c r="N40" i="8"/>
  <c r="M40" i="8"/>
  <c r="L40" i="8"/>
  <c r="K40" i="8"/>
  <c r="J40" i="8"/>
  <c r="I40" i="8"/>
  <c r="H40" i="8"/>
  <c r="G40" i="8"/>
  <c r="F40" i="8"/>
  <c r="E40" i="8"/>
  <c r="D40" i="8"/>
  <c r="O39" i="8"/>
  <c r="N39" i="8"/>
  <c r="M39" i="8"/>
  <c r="L39" i="8"/>
  <c r="K39" i="8"/>
  <c r="J39" i="8"/>
  <c r="I39" i="8"/>
  <c r="H39" i="8"/>
  <c r="G39" i="8"/>
  <c r="F39" i="8"/>
  <c r="E39" i="8"/>
  <c r="D39" i="8"/>
  <c r="O40" i="28"/>
  <c r="N40" i="28"/>
  <c r="M40" i="28"/>
  <c r="L40" i="28"/>
  <c r="K40" i="28"/>
  <c r="J40" i="28"/>
  <c r="I40" i="28"/>
  <c r="H40" i="28"/>
  <c r="G40" i="28"/>
  <c r="F40" i="28"/>
  <c r="E40" i="28"/>
  <c r="D40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O40" i="32"/>
  <c r="N40" i="32"/>
  <c r="M40" i="32"/>
  <c r="L40" i="32"/>
  <c r="K40" i="32"/>
  <c r="J40" i="32"/>
  <c r="I40" i="32"/>
  <c r="H40" i="32"/>
  <c r="G40" i="32"/>
  <c r="F40" i="32"/>
  <c r="E40" i="32"/>
  <c r="D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O40" i="6"/>
  <c r="N40" i="6"/>
  <c r="M40" i="6"/>
  <c r="L40" i="6"/>
  <c r="K40" i="6"/>
  <c r="J40" i="6"/>
  <c r="I40" i="6"/>
  <c r="H40" i="6"/>
  <c r="G40" i="6"/>
  <c r="F40" i="6"/>
  <c r="E40" i="6"/>
  <c r="D40" i="6"/>
  <c r="O39" i="6"/>
  <c r="N39" i="6"/>
  <c r="M39" i="6"/>
  <c r="L39" i="6"/>
  <c r="K39" i="6"/>
  <c r="J39" i="6"/>
  <c r="I39" i="6"/>
  <c r="H39" i="6"/>
  <c r="G39" i="6"/>
  <c r="F39" i="6"/>
  <c r="E39" i="6"/>
  <c r="D39" i="6"/>
  <c r="O40" i="14"/>
  <c r="N40" i="14"/>
  <c r="M40" i="14"/>
  <c r="L40" i="14"/>
  <c r="K40" i="14"/>
  <c r="J40" i="14"/>
  <c r="I40" i="14"/>
  <c r="H40" i="14"/>
  <c r="G40" i="14"/>
  <c r="F40" i="14"/>
  <c r="E40" i="14"/>
  <c r="D40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O40" i="12"/>
  <c r="N40" i="12"/>
  <c r="M40" i="12"/>
  <c r="L40" i="12"/>
  <c r="K40" i="12"/>
  <c r="J40" i="12"/>
  <c r="I40" i="12"/>
  <c r="H40" i="12"/>
  <c r="G40" i="12"/>
  <c r="F40" i="12"/>
  <c r="E40" i="12"/>
  <c r="D40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O41" i="10"/>
  <c r="N41" i="10"/>
  <c r="M41" i="10"/>
  <c r="L41" i="10"/>
  <c r="K41" i="10"/>
  <c r="J41" i="10"/>
  <c r="I41" i="10"/>
  <c r="H41" i="10"/>
  <c r="G41" i="10"/>
  <c r="F41" i="10"/>
  <c r="E41" i="10"/>
  <c r="D41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O40" i="34"/>
  <c r="N40" i="34"/>
  <c r="M40" i="34"/>
  <c r="L40" i="34"/>
  <c r="K40" i="34"/>
  <c r="J40" i="34"/>
  <c r="I40" i="34"/>
  <c r="H40" i="34"/>
  <c r="G40" i="34"/>
  <c r="F40" i="34"/>
  <c r="E40" i="34"/>
  <c r="D40" i="34"/>
  <c r="O39" i="34"/>
  <c r="N39" i="34"/>
  <c r="M39" i="34"/>
  <c r="L39" i="34"/>
  <c r="K39" i="34"/>
  <c r="J39" i="34"/>
  <c r="I39" i="34"/>
  <c r="H39" i="34"/>
  <c r="G39" i="34"/>
  <c r="F39" i="34"/>
  <c r="E39" i="34"/>
  <c r="D39" i="34"/>
  <c r="O40" i="16"/>
  <c r="N40" i="16"/>
  <c r="M40" i="16"/>
  <c r="L40" i="16"/>
  <c r="K40" i="16"/>
  <c r="J40" i="16"/>
  <c r="I40" i="16"/>
  <c r="H40" i="16"/>
  <c r="G40" i="16"/>
  <c r="F40" i="16"/>
  <c r="E40" i="16"/>
  <c r="D40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O40" i="25"/>
  <c r="N40" i="25"/>
  <c r="M40" i="25"/>
  <c r="L40" i="25"/>
  <c r="K40" i="25"/>
  <c r="J40" i="25"/>
  <c r="I40" i="25"/>
  <c r="H40" i="25"/>
  <c r="G40" i="25"/>
  <c r="F40" i="25"/>
  <c r="E40" i="25"/>
  <c r="O39" i="25"/>
  <c r="N39" i="25"/>
  <c r="M39" i="25"/>
  <c r="L39" i="25"/>
  <c r="K39" i="25"/>
  <c r="J39" i="25"/>
  <c r="I39" i="25"/>
  <c r="H39" i="25"/>
  <c r="G39" i="25"/>
  <c r="F39" i="25"/>
  <c r="E39" i="25"/>
  <c r="D40" i="25"/>
  <c r="M13" i="30"/>
  <c r="G32" i="21" l="1"/>
  <c r="K32" i="21" s="1"/>
  <c r="P32" i="21" l="1"/>
  <c r="T32" i="21"/>
  <c r="X32" i="21"/>
  <c r="M32" i="21"/>
  <c r="Q32" i="21"/>
  <c r="U32" i="21"/>
  <c r="N32" i="21"/>
  <c r="R32" i="21"/>
  <c r="V32" i="21"/>
  <c r="O32" i="21"/>
  <c r="S32" i="21"/>
  <c r="W32" i="21"/>
  <c r="O17" i="10"/>
  <c r="N17" i="10"/>
  <c r="M17" i="10"/>
  <c r="L17" i="10"/>
  <c r="K17" i="10"/>
  <c r="J17" i="10"/>
  <c r="I17" i="10"/>
  <c r="H17" i="10"/>
  <c r="G17" i="10"/>
  <c r="F17" i="10"/>
  <c r="E17" i="10"/>
  <c r="D17" i="10"/>
  <c r="H27" i="36"/>
  <c r="P58" i="17" l="1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4" i="36"/>
  <c r="O14" i="33"/>
  <c r="N14" i="33"/>
  <c r="M14" i="33"/>
  <c r="L14" i="33"/>
  <c r="K14" i="33"/>
  <c r="J14" i="33"/>
  <c r="I14" i="33"/>
  <c r="H14" i="33"/>
  <c r="G14" i="33"/>
  <c r="F14" i="33"/>
  <c r="E14" i="33"/>
  <c r="D14" i="33"/>
  <c r="E52" i="36"/>
  <c r="F28" i="36"/>
  <c r="F20" i="36"/>
  <c r="E28" i="36"/>
  <c r="E30" i="36"/>
  <c r="E26" i="36"/>
  <c r="C26" i="36"/>
  <c r="B26" i="36"/>
  <c r="E24" i="36"/>
  <c r="E20" i="36"/>
  <c r="F32" i="36"/>
  <c r="F36" i="36" s="1"/>
  <c r="F44" i="36" s="1"/>
  <c r="F47" i="36" s="1"/>
  <c r="F51" i="36" s="1"/>
  <c r="F52" i="36" s="1"/>
  <c r="C30" i="36"/>
  <c r="B30" i="36"/>
  <c r="E22" i="36"/>
  <c r="F34" i="36" l="1"/>
  <c r="E32" i="36"/>
  <c r="E36" i="36" s="1"/>
  <c r="E44" i="36" s="1"/>
  <c r="E47" i="36" s="1"/>
  <c r="E34" i="36" l="1"/>
  <c r="B28" i="36"/>
  <c r="C24" i="36"/>
  <c r="B24" i="36"/>
  <c r="C20" i="36"/>
  <c r="B20" i="36"/>
  <c r="C42" i="36"/>
  <c r="D20" i="36"/>
  <c r="D36" i="36"/>
  <c r="D42" i="36" s="1"/>
  <c r="D34" i="36"/>
  <c r="D32" i="36"/>
  <c r="C22" i="36"/>
  <c r="D40" i="36" l="1"/>
  <c r="B22" i="36"/>
  <c r="C32" i="36"/>
  <c r="B42" i="36"/>
  <c r="B32" i="36" l="1"/>
  <c r="B34" i="36" s="1"/>
  <c r="C36" i="36"/>
  <c r="C34" i="36"/>
  <c r="B36" i="36" l="1"/>
  <c r="B40" i="36" s="1"/>
  <c r="C40" i="36"/>
  <c r="C44" i="36" s="1"/>
  <c r="B44" i="36" l="1"/>
  <c r="C47" i="36" s="1"/>
  <c r="C51" i="36" s="1"/>
  <c r="C52" i="36" l="1"/>
  <c r="G51" i="36"/>
  <c r="H51" i="36" s="1"/>
  <c r="O41" i="25"/>
  <c r="N41" i="25"/>
  <c r="M41" i="25"/>
  <c r="L41" i="25"/>
  <c r="K41" i="25"/>
  <c r="J41" i="25"/>
  <c r="I41" i="25"/>
  <c r="H41" i="25"/>
  <c r="G41" i="25"/>
  <c r="F41" i="25"/>
  <c r="E41" i="25"/>
  <c r="D41" i="25"/>
  <c r="O41" i="16"/>
  <c r="N41" i="16"/>
  <c r="M41" i="16"/>
  <c r="L41" i="16"/>
  <c r="K41" i="16"/>
  <c r="J41" i="16"/>
  <c r="I41" i="16"/>
  <c r="H41" i="16"/>
  <c r="G41" i="16"/>
  <c r="F41" i="16"/>
  <c r="E41" i="16"/>
  <c r="D41" i="16"/>
  <c r="O41" i="17"/>
  <c r="N41" i="17"/>
  <c r="M41" i="17"/>
  <c r="L41" i="17"/>
  <c r="K41" i="17"/>
  <c r="J41" i="17"/>
  <c r="I41" i="17"/>
  <c r="H41" i="17"/>
  <c r="G41" i="17"/>
  <c r="F41" i="17"/>
  <c r="E41" i="17"/>
  <c r="D41" i="17"/>
  <c r="O41" i="34"/>
  <c r="N41" i="34"/>
  <c r="M41" i="34"/>
  <c r="L41" i="34"/>
  <c r="K41" i="34"/>
  <c r="J41" i="34"/>
  <c r="I41" i="34"/>
  <c r="H41" i="34"/>
  <c r="G41" i="34"/>
  <c r="F41" i="34"/>
  <c r="E41" i="34"/>
  <c r="D41" i="34"/>
  <c r="O42" i="10"/>
  <c r="N42" i="10"/>
  <c r="M42" i="10"/>
  <c r="L42" i="10"/>
  <c r="K42" i="10"/>
  <c r="J42" i="10"/>
  <c r="I42" i="10"/>
  <c r="H42" i="10"/>
  <c r="G42" i="10"/>
  <c r="F42" i="10"/>
  <c r="E42" i="10"/>
  <c r="D42" i="10"/>
  <c r="O41" i="12"/>
  <c r="N41" i="12"/>
  <c r="M41" i="12"/>
  <c r="L41" i="12"/>
  <c r="K41" i="12"/>
  <c r="J41" i="12"/>
  <c r="I41" i="12"/>
  <c r="H41" i="12"/>
  <c r="G41" i="12"/>
  <c r="F41" i="12"/>
  <c r="E41" i="12"/>
  <c r="D41" i="12"/>
  <c r="O41" i="14"/>
  <c r="N41" i="14"/>
  <c r="M41" i="14"/>
  <c r="L41" i="14"/>
  <c r="K41" i="14"/>
  <c r="J41" i="14"/>
  <c r="I41" i="14"/>
  <c r="H41" i="14"/>
  <c r="G41" i="14"/>
  <c r="F41" i="14"/>
  <c r="E41" i="14"/>
  <c r="D41" i="14"/>
  <c r="O41" i="6"/>
  <c r="N41" i="6"/>
  <c r="M41" i="6"/>
  <c r="L41" i="6"/>
  <c r="K41" i="6"/>
  <c r="J41" i="6"/>
  <c r="I41" i="6"/>
  <c r="H41" i="6"/>
  <c r="G41" i="6"/>
  <c r="F41" i="6"/>
  <c r="E41" i="6"/>
  <c r="D41" i="6"/>
  <c r="O41" i="32"/>
  <c r="N41" i="32"/>
  <c r="M41" i="32"/>
  <c r="L41" i="32"/>
  <c r="K41" i="32"/>
  <c r="J41" i="32"/>
  <c r="I41" i="32"/>
  <c r="H41" i="32"/>
  <c r="G41" i="32"/>
  <c r="F41" i="32"/>
  <c r="E41" i="32"/>
  <c r="D41" i="32"/>
  <c r="O41" i="28"/>
  <c r="N41" i="28"/>
  <c r="M41" i="28"/>
  <c r="L41" i="28"/>
  <c r="K41" i="28"/>
  <c r="J41" i="28"/>
  <c r="I41" i="28"/>
  <c r="H41" i="28"/>
  <c r="G41" i="28"/>
  <c r="F41" i="28"/>
  <c r="E41" i="28"/>
  <c r="D41" i="28"/>
  <c r="O41" i="8"/>
  <c r="N41" i="8"/>
  <c r="M41" i="8"/>
  <c r="L41" i="8"/>
  <c r="K41" i="8"/>
  <c r="J41" i="8"/>
  <c r="I41" i="8"/>
  <c r="H41" i="8"/>
  <c r="G41" i="8"/>
  <c r="F41" i="8"/>
  <c r="E41" i="8"/>
  <c r="D41" i="8"/>
  <c r="O41" i="9"/>
  <c r="N41" i="9"/>
  <c r="M41" i="9"/>
  <c r="L41" i="9"/>
  <c r="K41" i="9"/>
  <c r="J41" i="9"/>
  <c r="I41" i="9"/>
  <c r="H41" i="9"/>
  <c r="G41" i="9"/>
  <c r="F41" i="9"/>
  <c r="E41" i="9"/>
  <c r="D41" i="9"/>
  <c r="D35" i="17"/>
  <c r="E35" i="17"/>
  <c r="F35" i="17"/>
  <c r="G35" i="17"/>
  <c r="H35" i="17"/>
  <c r="I35" i="17"/>
  <c r="J35" i="17"/>
  <c r="K35" i="17"/>
  <c r="L35" i="17"/>
  <c r="M35" i="17"/>
  <c r="N35" i="17"/>
  <c r="O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E8" i="30" l="1"/>
  <c r="J64" i="1" l="1"/>
  <c r="O66" i="11" l="1"/>
  <c r="N66" i="11"/>
  <c r="M66" i="11"/>
  <c r="L66" i="11"/>
  <c r="K66" i="11"/>
  <c r="J66" i="11"/>
  <c r="I66" i="11"/>
  <c r="H66" i="11"/>
  <c r="G66" i="11"/>
  <c r="F66" i="11"/>
  <c r="E66" i="11"/>
  <c r="F39" i="38" l="1"/>
  <c r="F112" i="38"/>
  <c r="F132" i="38"/>
  <c r="B131" i="38"/>
  <c r="A131" i="38" s="1"/>
  <c r="A130" i="38"/>
  <c r="B129" i="38"/>
  <c r="A129" i="38"/>
  <c r="B128" i="38"/>
  <c r="A128" i="38" s="1"/>
  <c r="B127" i="38"/>
  <c r="A127" i="38"/>
  <c r="B126" i="38"/>
  <c r="A126" i="38" s="1"/>
  <c r="B125" i="38"/>
  <c r="A125" i="38"/>
  <c r="B124" i="38"/>
  <c r="B132" i="38" s="1"/>
  <c r="T116" i="38"/>
  <c r="S116" i="38"/>
  <c r="R116" i="38"/>
  <c r="Q116" i="38"/>
  <c r="P116" i="38"/>
  <c r="O116" i="38"/>
  <c r="N116" i="38"/>
  <c r="M116" i="38"/>
  <c r="L116" i="38"/>
  <c r="K116" i="38"/>
  <c r="J116" i="38"/>
  <c r="I116" i="38"/>
  <c r="H112" i="38"/>
  <c r="T112" i="38" s="1"/>
  <c r="O35" i="34" s="1"/>
  <c r="F109" i="38"/>
  <c r="H108" i="38"/>
  <c r="R108" i="38" s="1"/>
  <c r="R107" i="38"/>
  <c r="Q107" i="38"/>
  <c r="N107" i="38"/>
  <c r="M107" i="38"/>
  <c r="J107" i="38"/>
  <c r="I107" i="38"/>
  <c r="H107" i="38"/>
  <c r="T107" i="38" s="1"/>
  <c r="R103" i="38"/>
  <c r="Q103" i="38"/>
  <c r="N103" i="38"/>
  <c r="M103" i="38"/>
  <c r="J103" i="38"/>
  <c r="I103" i="38"/>
  <c r="H103" i="38"/>
  <c r="T103" i="38" s="1"/>
  <c r="K102" i="38"/>
  <c r="H101" i="38"/>
  <c r="F100" i="38"/>
  <c r="H100" i="38" s="1"/>
  <c r="H102" i="38" s="1"/>
  <c r="O102" i="38" s="1"/>
  <c r="R97" i="38"/>
  <c r="F97" i="38"/>
  <c r="T96" i="38"/>
  <c r="H96" i="38"/>
  <c r="H95" i="38"/>
  <c r="H97" i="38" s="1"/>
  <c r="H89" i="38"/>
  <c r="L89" i="38" s="1"/>
  <c r="F86" i="38"/>
  <c r="S81" i="38"/>
  <c r="O81" i="38"/>
  <c r="K81" i="38"/>
  <c r="H81" i="38"/>
  <c r="R81" i="38" s="1"/>
  <c r="H79" i="38"/>
  <c r="F78" i="38"/>
  <c r="T75" i="38"/>
  <c r="S75" i="38"/>
  <c r="R75" i="38"/>
  <c r="Q75" i="38"/>
  <c r="P75" i="38"/>
  <c r="O75" i="38"/>
  <c r="N75" i="38"/>
  <c r="M75" i="38"/>
  <c r="L75" i="38"/>
  <c r="K75" i="38"/>
  <c r="J75" i="38"/>
  <c r="F74" i="38"/>
  <c r="F75" i="38" s="1"/>
  <c r="T68" i="38"/>
  <c r="S68" i="38"/>
  <c r="R68" i="38"/>
  <c r="Q68" i="38"/>
  <c r="P68" i="38"/>
  <c r="O68" i="38"/>
  <c r="N68" i="38"/>
  <c r="M68" i="38"/>
  <c r="L68" i="38"/>
  <c r="K68" i="38"/>
  <c r="J68" i="38"/>
  <c r="I68" i="38"/>
  <c r="U68" i="38" s="1"/>
  <c r="H68" i="38"/>
  <c r="H66" i="38"/>
  <c r="H65" i="38"/>
  <c r="H64" i="38"/>
  <c r="H67" i="38" s="1"/>
  <c r="N67" i="38" s="1"/>
  <c r="N69" i="38" s="1"/>
  <c r="I35" i="32" s="1"/>
  <c r="Q60" i="38"/>
  <c r="M60" i="38"/>
  <c r="I60" i="38"/>
  <c r="H60" i="38"/>
  <c r="T60" i="38" s="1"/>
  <c r="S59" i="38"/>
  <c r="O59" i="38"/>
  <c r="H58" i="38"/>
  <c r="H57" i="38"/>
  <c r="F57" i="38"/>
  <c r="F61" i="38" s="1"/>
  <c r="H56" i="38"/>
  <c r="H59" i="38" s="1"/>
  <c r="F50" i="38"/>
  <c r="T49" i="38"/>
  <c r="S49" i="38"/>
  <c r="R49" i="38"/>
  <c r="Q49" i="38"/>
  <c r="P49" i="38"/>
  <c r="O49" i="38"/>
  <c r="N49" i="38"/>
  <c r="M49" i="38"/>
  <c r="L49" i="38"/>
  <c r="K49" i="38"/>
  <c r="J49" i="38"/>
  <c r="I49" i="38"/>
  <c r="H49" i="38"/>
  <c r="H47" i="38"/>
  <c r="F47" i="38"/>
  <c r="F65" i="38" s="1"/>
  <c r="F69" i="38" s="1"/>
  <c r="H46" i="38"/>
  <c r="H45" i="38"/>
  <c r="H48" i="38" s="1"/>
  <c r="H44" i="38"/>
  <c r="F43" i="38"/>
  <c r="H39" i="38"/>
  <c r="Q39" i="38" s="1"/>
  <c r="H38" i="38"/>
  <c r="P38" i="38" s="1"/>
  <c r="F37" i="38"/>
  <c r="H37" i="38" s="1"/>
  <c r="H36" i="38"/>
  <c r="H35" i="38"/>
  <c r="H34" i="38"/>
  <c r="H29" i="38"/>
  <c r="H26" i="38"/>
  <c r="F26" i="38"/>
  <c r="H24" i="38"/>
  <c r="H23" i="38"/>
  <c r="F17" i="38"/>
  <c r="G15" i="38"/>
  <c r="H15" i="38" s="1"/>
  <c r="H14" i="38"/>
  <c r="G13" i="38"/>
  <c r="H13" i="38" s="1"/>
  <c r="H9" i="38"/>
  <c r="F8" i="38"/>
  <c r="H8" i="38" s="1"/>
  <c r="H7" i="38"/>
  <c r="H6" i="38"/>
  <c r="G6" i="38"/>
  <c r="G16" i="38" s="1"/>
  <c r="H16" i="38" s="1"/>
  <c r="AA3" i="38"/>
  <c r="Z3" i="38"/>
  <c r="Y3" i="38"/>
  <c r="X3" i="38"/>
  <c r="U49" i="38" l="1"/>
  <c r="U116" i="38"/>
  <c r="J39" i="38"/>
  <c r="N39" i="38"/>
  <c r="R39" i="38"/>
  <c r="H109" i="38"/>
  <c r="K108" i="38"/>
  <c r="O108" i="38"/>
  <c r="S108" i="38"/>
  <c r="F110" i="38"/>
  <c r="L112" i="38"/>
  <c r="G35" i="34" s="1"/>
  <c r="P112" i="38"/>
  <c r="K35" i="34" s="1"/>
  <c r="S48" i="38"/>
  <c r="S50" i="38" s="1"/>
  <c r="N35" i="8" s="1"/>
  <c r="O48" i="38"/>
  <c r="O50" i="38" s="1"/>
  <c r="J35" i="8" s="1"/>
  <c r="K48" i="38"/>
  <c r="K50" i="38" s="1"/>
  <c r="F35" i="8" s="1"/>
  <c r="R48" i="38"/>
  <c r="R50" i="38" s="1"/>
  <c r="M35" i="8" s="1"/>
  <c r="N48" i="38"/>
  <c r="N50" i="38" s="1"/>
  <c r="I35" i="8" s="1"/>
  <c r="J48" i="38"/>
  <c r="J50" i="38" s="1"/>
  <c r="E35" i="8" s="1"/>
  <c r="H50" i="38"/>
  <c r="F51" i="38" s="1"/>
  <c r="Q48" i="38"/>
  <c r="Q50" i="38" s="1"/>
  <c r="L35" i="8" s="1"/>
  <c r="M48" i="38"/>
  <c r="M50" i="38" s="1"/>
  <c r="H35" i="8" s="1"/>
  <c r="I48" i="38"/>
  <c r="T48" i="38"/>
  <c r="T50" i="38" s="1"/>
  <c r="O35" i="8" s="1"/>
  <c r="P48" i="38"/>
  <c r="P50" i="38" s="1"/>
  <c r="K35" i="8" s="1"/>
  <c r="L48" i="38"/>
  <c r="L50" i="38" s="1"/>
  <c r="G35" i="8" s="1"/>
  <c r="D26" i="38"/>
  <c r="D27" i="38" s="1"/>
  <c r="R67" i="38"/>
  <c r="R69" i="38" s="1"/>
  <c r="M35" i="32" s="1"/>
  <c r="H10" i="38"/>
  <c r="L38" i="38"/>
  <c r="S38" i="38"/>
  <c r="O38" i="38"/>
  <c r="K38" i="38"/>
  <c r="H40" i="38"/>
  <c r="R38" i="38"/>
  <c r="R40" i="38" s="1"/>
  <c r="M35" i="9" s="1"/>
  <c r="N38" i="38"/>
  <c r="J38" i="38"/>
  <c r="J40" i="38" s="1"/>
  <c r="E35" i="9" s="1"/>
  <c r="Q38" i="38"/>
  <c r="Q40" i="38" s="1"/>
  <c r="L35" i="9" s="1"/>
  <c r="M38" i="38"/>
  <c r="I38" i="38"/>
  <c r="H69" i="38"/>
  <c r="I75" i="38" s="1"/>
  <c r="Q67" i="38"/>
  <c r="Q69" i="38" s="1"/>
  <c r="L35" i="32" s="1"/>
  <c r="M67" i="38"/>
  <c r="M69" i="38" s="1"/>
  <c r="H35" i="32" s="1"/>
  <c r="I67" i="38"/>
  <c r="T67" i="38"/>
  <c r="T69" i="38" s="1"/>
  <c r="O35" i="32" s="1"/>
  <c r="P67" i="38"/>
  <c r="P69" i="38" s="1"/>
  <c r="K35" i="32" s="1"/>
  <c r="L67" i="38"/>
  <c r="L69" i="38" s="1"/>
  <c r="G35" i="32" s="1"/>
  <c r="S67" i="38"/>
  <c r="S69" i="38" s="1"/>
  <c r="N35" i="32" s="1"/>
  <c r="O67" i="38"/>
  <c r="O69" i="38" s="1"/>
  <c r="J35" i="32" s="1"/>
  <c r="K67" i="38"/>
  <c r="K69" i="38" s="1"/>
  <c r="F35" i="32" s="1"/>
  <c r="H17" i="38"/>
  <c r="T38" i="38"/>
  <c r="R59" i="38"/>
  <c r="N59" i="38"/>
  <c r="J59" i="38"/>
  <c r="H61" i="38"/>
  <c r="F62" i="38" s="1"/>
  <c r="Q59" i="38"/>
  <c r="Q61" i="38" s="1"/>
  <c r="L35" i="28" s="1"/>
  <c r="M59" i="38"/>
  <c r="M61" i="38" s="1"/>
  <c r="H35" i="28" s="1"/>
  <c r="I59" i="38"/>
  <c r="T59" i="38"/>
  <c r="T61" i="38" s="1"/>
  <c r="O35" i="28" s="1"/>
  <c r="P59" i="38"/>
  <c r="L59" i="38"/>
  <c r="K59" i="38"/>
  <c r="J67" i="38"/>
  <c r="J69" i="38" s="1"/>
  <c r="E35" i="32" s="1"/>
  <c r="F10" i="38"/>
  <c r="G19" i="38"/>
  <c r="H19" i="38" s="1"/>
  <c r="K39" i="38"/>
  <c r="O39" i="38"/>
  <c r="S39" i="38"/>
  <c r="F40" i="38"/>
  <c r="J60" i="38"/>
  <c r="N60" i="38"/>
  <c r="R60" i="38"/>
  <c r="F90" i="38"/>
  <c r="H86" i="38"/>
  <c r="H88" i="38" s="1"/>
  <c r="Q97" i="38"/>
  <c r="M97" i="38"/>
  <c r="I97" i="38"/>
  <c r="T97" i="38"/>
  <c r="P97" i="38"/>
  <c r="L97" i="38"/>
  <c r="S97" i="38"/>
  <c r="O97" i="38"/>
  <c r="K97" i="38"/>
  <c r="S96" i="38"/>
  <c r="O96" i="38"/>
  <c r="K96" i="38"/>
  <c r="R96" i="38"/>
  <c r="N96" i="38"/>
  <c r="J96" i="38"/>
  <c r="Q96" i="38"/>
  <c r="M96" i="38"/>
  <c r="I96" i="38"/>
  <c r="S89" i="38"/>
  <c r="O89" i="38"/>
  <c r="K89" i="38"/>
  <c r="R89" i="38"/>
  <c r="N89" i="38"/>
  <c r="J89" i="38"/>
  <c r="Q89" i="38"/>
  <c r="M89" i="38"/>
  <c r="I89" i="38"/>
  <c r="L39" i="38"/>
  <c r="P39" i="38"/>
  <c r="P40" i="38" s="1"/>
  <c r="K35" i="9" s="1"/>
  <c r="T39" i="38"/>
  <c r="K60" i="38"/>
  <c r="O60" i="38"/>
  <c r="O61" i="38" s="1"/>
  <c r="J35" i="28" s="1"/>
  <c r="S60" i="38"/>
  <c r="S61" i="38" s="1"/>
  <c r="N35" i="28" s="1"/>
  <c r="F82" i="38"/>
  <c r="H78" i="38"/>
  <c r="H80" i="38" s="1"/>
  <c r="P89" i="38"/>
  <c r="L96" i="38"/>
  <c r="J97" i="38"/>
  <c r="G120" i="38"/>
  <c r="I39" i="38"/>
  <c r="M39" i="38"/>
  <c r="L60" i="38"/>
  <c r="P60" i="38"/>
  <c r="T89" i="38"/>
  <c r="P96" i="38"/>
  <c r="N97" i="38"/>
  <c r="R102" i="38"/>
  <c r="R104" i="38" s="1"/>
  <c r="M35" i="12" s="1"/>
  <c r="N102" i="38"/>
  <c r="N104" i="38" s="1"/>
  <c r="I35" i="12" s="1"/>
  <c r="J102" i="38"/>
  <c r="J104" i="38" s="1"/>
  <c r="E35" i="12" s="1"/>
  <c r="H104" i="38"/>
  <c r="Q102" i="38"/>
  <c r="Q104" i="38" s="1"/>
  <c r="L35" i="12" s="1"/>
  <c r="M102" i="38"/>
  <c r="M104" i="38" s="1"/>
  <c r="H35" i="12" s="1"/>
  <c r="I102" i="38"/>
  <c r="T102" i="38"/>
  <c r="T104" i="38" s="1"/>
  <c r="O35" i="12" s="1"/>
  <c r="P102" i="38"/>
  <c r="L102" i="38"/>
  <c r="S102" i="38"/>
  <c r="R109" i="38"/>
  <c r="M36" i="10" s="1"/>
  <c r="S112" i="38"/>
  <c r="N35" i="34" s="1"/>
  <c r="O112" i="38"/>
  <c r="J35" i="34" s="1"/>
  <c r="K112" i="38"/>
  <c r="F35" i="34" s="1"/>
  <c r="R112" i="38"/>
  <c r="M35" i="34" s="1"/>
  <c r="N112" i="38"/>
  <c r="I35" i="34" s="1"/>
  <c r="J112" i="38"/>
  <c r="E35" i="34" s="1"/>
  <c r="Q112" i="38"/>
  <c r="L35" i="34" s="1"/>
  <c r="M112" i="38"/>
  <c r="H35" i="34" s="1"/>
  <c r="I112" i="38"/>
  <c r="D35" i="34" s="1"/>
  <c r="L81" i="38"/>
  <c r="P81" i="38"/>
  <c r="T81" i="38"/>
  <c r="F104" i="38"/>
  <c r="F105" i="38" s="1"/>
  <c r="L108" i="38"/>
  <c r="P108" i="38"/>
  <c r="T108" i="38"/>
  <c r="T109" i="38" s="1"/>
  <c r="O36" i="10" s="1"/>
  <c r="I81" i="38"/>
  <c r="M81" i="38"/>
  <c r="Q81" i="38"/>
  <c r="K103" i="38"/>
  <c r="O103" i="38"/>
  <c r="O104" i="38" s="1"/>
  <c r="J35" i="12" s="1"/>
  <c r="S103" i="38"/>
  <c r="K107" i="38"/>
  <c r="O107" i="38"/>
  <c r="O109" i="38" s="1"/>
  <c r="J36" i="10" s="1"/>
  <c r="S107" i="38"/>
  <c r="S109" i="38" s="1"/>
  <c r="N36" i="10" s="1"/>
  <c r="I108" i="38"/>
  <c r="M108" i="38"/>
  <c r="M109" i="38" s="1"/>
  <c r="H36" i="10" s="1"/>
  <c r="Q108" i="38"/>
  <c r="Q109" i="38" s="1"/>
  <c r="L36" i="10" s="1"/>
  <c r="A124" i="38"/>
  <c r="A132" i="38" s="1"/>
  <c r="J81" i="38"/>
  <c r="N81" i="38"/>
  <c r="L103" i="38"/>
  <c r="P103" i="38"/>
  <c r="L107" i="38"/>
  <c r="L109" i="38" s="1"/>
  <c r="G36" i="10" s="1"/>
  <c r="P107" i="38"/>
  <c r="P109" i="38" s="1"/>
  <c r="K36" i="10" s="1"/>
  <c r="J108" i="38"/>
  <c r="J109" i="38" s="1"/>
  <c r="E36" i="10" s="1"/>
  <c r="N108" i="38"/>
  <c r="N109" i="38" s="1"/>
  <c r="I36" i="10" s="1"/>
  <c r="U60" i="38" l="1"/>
  <c r="U103" i="38"/>
  <c r="N61" i="38"/>
  <c r="I35" i="28" s="1"/>
  <c r="N40" i="38"/>
  <c r="I35" i="9" s="1"/>
  <c r="U39" i="38"/>
  <c r="O40" i="38"/>
  <c r="J35" i="9" s="1"/>
  <c r="F118" i="38"/>
  <c r="F122" i="38" s="1"/>
  <c r="U108" i="38"/>
  <c r="S104" i="38"/>
  <c r="N35" i="12" s="1"/>
  <c r="I104" i="38"/>
  <c r="D35" i="12" s="1"/>
  <c r="U102" i="38"/>
  <c r="I40" i="38"/>
  <c r="D35" i="9" s="1"/>
  <c r="U38" i="38"/>
  <c r="U40" i="38" s="1"/>
  <c r="U81" i="38"/>
  <c r="U112" i="38"/>
  <c r="L104" i="38"/>
  <c r="G35" i="12" s="1"/>
  <c r="I109" i="38"/>
  <c r="D36" i="10" s="1"/>
  <c r="K104" i="38"/>
  <c r="F35" i="12" s="1"/>
  <c r="U97" i="38"/>
  <c r="F41" i="38"/>
  <c r="C40" i="38"/>
  <c r="Q19" i="38"/>
  <c r="M19" i="38"/>
  <c r="I19" i="38"/>
  <c r="T19" i="38"/>
  <c r="P19" i="38"/>
  <c r="L19" i="38"/>
  <c r="S19" i="38"/>
  <c r="O19" i="38"/>
  <c r="K19" i="38"/>
  <c r="R19" i="38"/>
  <c r="N19" i="38"/>
  <c r="J19" i="38"/>
  <c r="P61" i="38"/>
  <c r="K35" i="28" s="1"/>
  <c r="R61" i="38"/>
  <c r="M35" i="28" s="1"/>
  <c r="M40" i="38"/>
  <c r="H35" i="9" s="1"/>
  <c r="S40" i="38"/>
  <c r="N35" i="9" s="1"/>
  <c r="I50" i="38"/>
  <c r="D35" i="8" s="1"/>
  <c r="U48" i="38"/>
  <c r="U50" i="38" s="1"/>
  <c r="R17" i="38"/>
  <c r="M35" i="16" s="1"/>
  <c r="N17" i="38"/>
  <c r="I35" i="16" s="1"/>
  <c r="J17" i="38"/>
  <c r="Q17" i="38"/>
  <c r="L35" i="16" s="1"/>
  <c r="M17" i="38"/>
  <c r="H35" i="16" s="1"/>
  <c r="I17" i="38"/>
  <c r="D35" i="16" s="1"/>
  <c r="T17" i="38"/>
  <c r="P17" i="38"/>
  <c r="K35" i="16" s="1"/>
  <c r="L17" i="38"/>
  <c r="G35" i="16" s="1"/>
  <c r="O17" i="38"/>
  <c r="J35" i="16" s="1"/>
  <c r="K17" i="38"/>
  <c r="S17" i="38"/>
  <c r="N35" i="16" s="1"/>
  <c r="Q10" i="38"/>
  <c r="L35" i="25" s="1"/>
  <c r="M10" i="38"/>
  <c r="H35" i="25" s="1"/>
  <c r="I10" i="38"/>
  <c r="D35" i="25" s="1"/>
  <c r="T10" i="38"/>
  <c r="O35" i="25" s="1"/>
  <c r="P10" i="38"/>
  <c r="K35" i="25" s="1"/>
  <c r="L10" i="38"/>
  <c r="G35" i="25" s="1"/>
  <c r="S10" i="38"/>
  <c r="N35" i="25" s="1"/>
  <c r="O10" i="38"/>
  <c r="J35" i="25" s="1"/>
  <c r="K10" i="38"/>
  <c r="F35" i="25" s="1"/>
  <c r="R10" i="38"/>
  <c r="N10" i="38"/>
  <c r="I35" i="25" s="1"/>
  <c r="J10" i="38"/>
  <c r="E35" i="25" s="1"/>
  <c r="P104" i="38"/>
  <c r="K35" i="12" s="1"/>
  <c r="T101" i="38"/>
  <c r="P101" i="38"/>
  <c r="L101" i="38"/>
  <c r="P95" i="38"/>
  <c r="N87" i="38"/>
  <c r="T80" i="38"/>
  <c r="T82" i="38" s="1"/>
  <c r="O35" i="6" s="1"/>
  <c r="P80" i="38"/>
  <c r="P82" i="38" s="1"/>
  <c r="K35" i="6" s="1"/>
  <c r="L80" i="38"/>
  <c r="L82" i="38" s="1"/>
  <c r="G35" i="6" s="1"/>
  <c r="S101" i="38"/>
  <c r="O101" i="38"/>
  <c r="K101" i="38"/>
  <c r="O95" i="38"/>
  <c r="S80" i="38"/>
  <c r="S82" i="38" s="1"/>
  <c r="N35" i="6" s="1"/>
  <c r="O80" i="38"/>
  <c r="O82" i="38" s="1"/>
  <c r="J35" i="6" s="1"/>
  <c r="K80" i="38"/>
  <c r="K82" i="38" s="1"/>
  <c r="F35" i="6" s="1"/>
  <c r="R101" i="38"/>
  <c r="N101" i="38"/>
  <c r="J101" i="38"/>
  <c r="N95" i="38"/>
  <c r="T87" i="38"/>
  <c r="L87" i="38"/>
  <c r="R80" i="38"/>
  <c r="R82" i="38" s="1"/>
  <c r="M35" i="6" s="1"/>
  <c r="N80" i="38"/>
  <c r="N82" i="38" s="1"/>
  <c r="I35" i="6" s="1"/>
  <c r="J80" i="38"/>
  <c r="J82" i="38" s="1"/>
  <c r="E35" i="6" s="1"/>
  <c r="Q101" i="38"/>
  <c r="O87" i="38"/>
  <c r="S87" i="38"/>
  <c r="I80" i="38"/>
  <c r="M101" i="38"/>
  <c r="I95" i="38"/>
  <c r="Q80" i="38"/>
  <c r="Q82" i="38" s="1"/>
  <c r="L35" i="6" s="1"/>
  <c r="Q95" i="38"/>
  <c r="I101" i="38"/>
  <c r="M80" i="38"/>
  <c r="M82" i="38" s="1"/>
  <c r="H35" i="6" s="1"/>
  <c r="H82" i="38"/>
  <c r="H118" i="38" s="1"/>
  <c r="T40" i="38"/>
  <c r="O35" i="9" s="1"/>
  <c r="F70" i="38"/>
  <c r="H90" i="38"/>
  <c r="Q88" i="38"/>
  <c r="Q90" i="38" s="1"/>
  <c r="L35" i="14" s="1"/>
  <c r="M88" i="38"/>
  <c r="M90" i="38" s="1"/>
  <c r="H35" i="14" s="1"/>
  <c r="I88" i="38"/>
  <c r="T88" i="38"/>
  <c r="T90" i="38" s="1"/>
  <c r="O35" i="14" s="1"/>
  <c r="P88" i="38"/>
  <c r="P90" i="38" s="1"/>
  <c r="K35" i="14" s="1"/>
  <c r="L88" i="38"/>
  <c r="L90" i="38" s="1"/>
  <c r="G35" i="14" s="1"/>
  <c r="S88" i="38"/>
  <c r="S90" i="38" s="1"/>
  <c r="N35" i="14" s="1"/>
  <c r="O88" i="38"/>
  <c r="O90" i="38" s="1"/>
  <c r="J35" i="14" s="1"/>
  <c r="K88" i="38"/>
  <c r="K90" i="38" s="1"/>
  <c r="F35" i="14" s="1"/>
  <c r="R88" i="38"/>
  <c r="R90" i="38" s="1"/>
  <c r="M35" i="14" s="1"/>
  <c r="N88" i="38"/>
  <c r="N90" i="38" s="1"/>
  <c r="I35" i="14" s="1"/>
  <c r="J88" i="38"/>
  <c r="J90" i="38" s="1"/>
  <c r="E35" i="14" s="1"/>
  <c r="L61" i="38"/>
  <c r="G35" i="28" s="1"/>
  <c r="K109" i="38"/>
  <c r="F36" i="10" s="1"/>
  <c r="U107" i="38"/>
  <c r="U109" i="38" s="1"/>
  <c r="U89" i="38"/>
  <c r="K61" i="38"/>
  <c r="F35" i="28" s="1"/>
  <c r="I61" i="38"/>
  <c r="D35" i="28" s="1"/>
  <c r="U59" i="38"/>
  <c r="U61" i="38" s="1"/>
  <c r="J61" i="38"/>
  <c r="E35" i="28" s="1"/>
  <c r="U67" i="38"/>
  <c r="U69" i="38" s="1"/>
  <c r="I69" i="38"/>
  <c r="D35" i="32" s="1"/>
  <c r="K40" i="38"/>
  <c r="F35" i="9" s="1"/>
  <c r="L40" i="38"/>
  <c r="G35" i="9" s="1"/>
  <c r="J87" i="38" l="1"/>
  <c r="R95" i="38"/>
  <c r="S95" i="38"/>
  <c r="K95" i="38"/>
  <c r="F35" i="16"/>
  <c r="T95" i="38"/>
  <c r="O35" i="16"/>
  <c r="J95" i="38"/>
  <c r="E35" i="16"/>
  <c r="M95" i="38"/>
  <c r="K87" i="38"/>
  <c r="P87" i="38"/>
  <c r="L95" i="38"/>
  <c r="R118" i="38"/>
  <c r="M35" i="25"/>
  <c r="I87" i="38"/>
  <c r="M118" i="38"/>
  <c r="H119" i="38"/>
  <c r="I119" i="38" s="1"/>
  <c r="H120" i="38"/>
  <c r="L118" i="38"/>
  <c r="U19" i="38"/>
  <c r="M87" i="38"/>
  <c r="K118" i="38"/>
  <c r="P118" i="38"/>
  <c r="Q118" i="38"/>
  <c r="U17" i="38"/>
  <c r="U88" i="38"/>
  <c r="U90" i="38" s="1"/>
  <c r="I90" i="38"/>
  <c r="U101" i="38"/>
  <c r="Q87" i="38"/>
  <c r="R87" i="38"/>
  <c r="J118" i="38"/>
  <c r="O118" i="38"/>
  <c r="T118" i="38"/>
  <c r="U104" i="38"/>
  <c r="I105" i="38"/>
  <c r="I82" i="38"/>
  <c r="U80" i="38"/>
  <c r="U82" i="38" s="1"/>
  <c r="N118" i="38"/>
  <c r="S118" i="38"/>
  <c r="U10" i="38"/>
  <c r="I83" i="38" l="1"/>
  <c r="D35" i="6"/>
  <c r="I91" i="38"/>
  <c r="D35" i="14"/>
  <c r="U118" i="38"/>
  <c r="W10" i="38" s="1"/>
  <c r="I118" i="38"/>
  <c r="T119" i="38" s="1"/>
  <c r="W17" i="38"/>
  <c r="W82" i="38" l="1"/>
  <c r="C1" i="36"/>
  <c r="Y82" i="38"/>
  <c r="Z82" i="38"/>
  <c r="AA82" i="38"/>
  <c r="X82" i="38"/>
  <c r="X17" i="38"/>
  <c r="Z17" i="38"/>
  <c r="AA17" i="38"/>
  <c r="Y17" i="38"/>
  <c r="AA10" i="38"/>
  <c r="X10" i="38"/>
  <c r="Z10" i="38"/>
  <c r="Y10" i="38"/>
  <c r="U119" i="38"/>
  <c r="W74" i="38"/>
  <c r="W18" i="38"/>
  <c r="W69" i="38"/>
  <c r="W97" i="38"/>
  <c r="W40" i="38"/>
  <c r="W112" i="38"/>
  <c r="W51" i="38"/>
  <c r="W61" i="38"/>
  <c r="W104" i="38"/>
  <c r="W90" i="38"/>
  <c r="C4" i="36" l="1"/>
  <c r="C3" i="36"/>
  <c r="D1" i="36"/>
  <c r="Z90" i="38"/>
  <c r="Y90" i="38"/>
  <c r="AA90" i="38"/>
  <c r="X90" i="38"/>
  <c r="AA18" i="38"/>
  <c r="Y18" i="38"/>
  <c r="X18" i="38"/>
  <c r="Z18" i="38"/>
  <c r="AA40" i="38"/>
  <c r="X40" i="38"/>
  <c r="Z40" i="38"/>
  <c r="Y40" i="38"/>
  <c r="AA104" i="38"/>
  <c r="Y104" i="38"/>
  <c r="X104" i="38"/>
  <c r="Z104" i="38"/>
  <c r="Y74" i="38"/>
  <c r="Z74" i="38"/>
  <c r="AA74" i="38"/>
  <c r="X74" i="38"/>
  <c r="AA61" i="38"/>
  <c r="X61" i="38"/>
  <c r="Y61" i="38"/>
  <c r="Z61" i="38"/>
  <c r="Z97" i="38"/>
  <c r="AA97" i="38"/>
  <c r="Y97" i="38"/>
  <c r="X97" i="38"/>
  <c r="Z112" i="38"/>
  <c r="AA112" i="38"/>
  <c r="X112" i="38"/>
  <c r="Y112" i="38"/>
  <c r="AA51" i="38"/>
  <c r="X51" i="38"/>
  <c r="Y51" i="38"/>
  <c r="Z51" i="38"/>
  <c r="Z69" i="38"/>
  <c r="Y69" i="38"/>
  <c r="AA69" i="38"/>
  <c r="X69" i="38"/>
  <c r="W116" i="38"/>
  <c r="Y116" i="38" l="1"/>
  <c r="Z116" i="38"/>
  <c r="Z117" i="38" s="1"/>
  <c r="X116" i="38"/>
  <c r="X117" i="38" s="1"/>
  <c r="AA116" i="38"/>
  <c r="AA117" i="38" s="1"/>
  <c r="O52" i="11" l="1"/>
  <c r="N52" i="11"/>
  <c r="M52" i="11"/>
  <c r="L52" i="11"/>
  <c r="K52" i="11"/>
  <c r="J52" i="11"/>
  <c r="I52" i="11"/>
  <c r="H52" i="11"/>
  <c r="G52" i="11"/>
  <c r="F52" i="11"/>
  <c r="E52" i="11"/>
  <c r="D52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P51" i="8"/>
  <c r="I44" i="37" l="1"/>
  <c r="I40" i="37"/>
  <c r="I39" i="37"/>
  <c r="I38" i="37"/>
  <c r="I37" i="37"/>
  <c r="I36" i="37"/>
  <c r="I33" i="37"/>
  <c r="I25" i="37"/>
  <c r="I22" i="37"/>
  <c r="I20" i="37"/>
  <c r="I18" i="37"/>
  <c r="I17" i="37"/>
  <c r="I14" i="37"/>
  <c r="I13" i="37"/>
  <c r="I12" i="37"/>
  <c r="I11" i="37"/>
  <c r="I10" i="37"/>
  <c r="I9" i="37"/>
  <c r="I8" i="37"/>
  <c r="I6" i="37"/>
  <c r="I4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44" i="37" s="1"/>
  <c r="H26" i="37"/>
  <c r="H25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H6" i="37"/>
  <c r="H5" i="37"/>
  <c r="H4" i="37"/>
  <c r="F44" i="37"/>
  <c r="F42" i="37"/>
  <c r="F41" i="37"/>
  <c r="F40" i="37"/>
  <c r="F39" i="37"/>
  <c r="F38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3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" i="37"/>
  <c r="F4" i="37"/>
  <c r="E44" i="37"/>
  <c r="C44" i="37"/>
  <c r="E23" i="37"/>
  <c r="C23" i="37"/>
  <c r="C28" i="37" l="1"/>
  <c r="C26" i="37"/>
  <c r="C15" i="37"/>
  <c r="C7" i="37"/>
  <c r="L23" i="21"/>
  <c r="X21" i="21"/>
  <c r="C16" i="21"/>
  <c r="C8" i="21"/>
  <c r="C27" i="21" l="1"/>
  <c r="G30" i="21"/>
  <c r="K30" i="21" s="1"/>
  <c r="V30" i="21" l="1"/>
  <c r="W30" i="21"/>
  <c r="S30" i="21"/>
  <c r="O30" i="21"/>
  <c r="P30" i="21"/>
  <c r="T30" i="21"/>
  <c r="X30" i="21"/>
  <c r="M30" i="21"/>
  <c r="Q30" i="21"/>
  <c r="U30" i="21"/>
  <c r="N30" i="21"/>
  <c r="R30" i="21"/>
  <c r="I10" i="36" l="1"/>
  <c r="I9" i="36"/>
  <c r="I7" i="36"/>
  <c r="I5" i="36"/>
  <c r="J36" i="16"/>
  <c r="F36" i="16"/>
  <c r="G36" i="16"/>
  <c r="K36" i="16"/>
  <c r="N36" i="16"/>
  <c r="O36" i="16"/>
  <c r="R106" i="1"/>
  <c r="R85" i="1"/>
  <c r="R54" i="1"/>
  <c r="R43" i="1"/>
  <c r="D36" i="33"/>
  <c r="D37" i="33"/>
  <c r="D38" i="33"/>
  <c r="D39" i="33"/>
  <c r="D40" i="33"/>
  <c r="D41" i="33"/>
  <c r="D36" i="16" l="1"/>
  <c r="H36" i="16"/>
  <c r="L36" i="16"/>
  <c r="E36" i="16"/>
  <c r="I36" i="16"/>
  <c r="M36" i="16"/>
  <c r="M9" i="30"/>
  <c r="M11" i="30" s="1"/>
  <c r="M12" i="30" s="1"/>
  <c r="M16" i="30" s="1"/>
  <c r="E5" i="30" l="1"/>
  <c r="M17" i="30"/>
  <c r="O6" i="12"/>
  <c r="N6" i="12"/>
  <c r="M6" i="12"/>
  <c r="L6" i="12"/>
  <c r="K6" i="12"/>
  <c r="J6" i="12"/>
  <c r="I6" i="12"/>
  <c r="H6" i="12"/>
  <c r="G6" i="12"/>
  <c r="F6" i="12"/>
  <c r="E6" i="12"/>
  <c r="D6" i="12"/>
  <c r="O6" i="14"/>
  <c r="N6" i="14"/>
  <c r="M6" i="14"/>
  <c r="L6" i="14"/>
  <c r="K6" i="14"/>
  <c r="J6" i="14"/>
  <c r="I6" i="14"/>
  <c r="H6" i="14"/>
  <c r="G6" i="14"/>
  <c r="F6" i="14"/>
  <c r="E6" i="14"/>
  <c r="D6" i="14"/>
  <c r="O6" i="6"/>
  <c r="N6" i="6"/>
  <c r="M6" i="6"/>
  <c r="L6" i="6"/>
  <c r="K6" i="6"/>
  <c r="J6" i="6"/>
  <c r="I6" i="6"/>
  <c r="H6" i="6"/>
  <c r="G6" i="6"/>
  <c r="F6" i="6"/>
  <c r="E6" i="6"/>
  <c r="D6" i="6"/>
  <c r="G30" i="7" l="1"/>
  <c r="F30" i="7"/>
  <c r="E30" i="7"/>
  <c r="D30" i="7"/>
  <c r="B20" i="19" l="1"/>
  <c r="C19" i="19"/>
  <c r="D19" i="19" s="1"/>
  <c r="C18" i="19"/>
  <c r="D18" i="19" s="1"/>
  <c r="C17" i="19"/>
  <c r="C20" i="19" s="1"/>
  <c r="D16" i="19"/>
  <c r="E9" i="19"/>
  <c r="E11" i="19" s="1"/>
  <c r="D17" i="19" l="1"/>
  <c r="E21" i="19" s="1"/>
  <c r="E23" i="19" s="1"/>
  <c r="O76" i="11"/>
  <c r="N76" i="11"/>
  <c r="M76" i="11"/>
  <c r="L76" i="11"/>
  <c r="K76" i="11"/>
  <c r="J76" i="11"/>
  <c r="I76" i="11"/>
  <c r="H76" i="11"/>
  <c r="G76" i="11"/>
  <c r="F76" i="11"/>
  <c r="E76" i="11"/>
  <c r="D76" i="11"/>
  <c r="D66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P75" i="12"/>
  <c r="P75" i="6"/>
  <c r="O89" i="32"/>
  <c r="N89" i="32"/>
  <c r="M89" i="32"/>
  <c r="L89" i="32"/>
  <c r="K89" i="32"/>
  <c r="J89" i="32"/>
  <c r="I89" i="32"/>
  <c r="H89" i="32"/>
  <c r="G89" i="32"/>
  <c r="F89" i="32"/>
  <c r="E89" i="32"/>
  <c r="D89" i="32"/>
  <c r="O89" i="8"/>
  <c r="N89" i="8"/>
  <c r="M89" i="8"/>
  <c r="L89" i="8"/>
  <c r="K89" i="8"/>
  <c r="J89" i="8"/>
  <c r="I89" i="8"/>
  <c r="H89" i="8"/>
  <c r="G89" i="8"/>
  <c r="F89" i="8"/>
  <c r="E89" i="8"/>
  <c r="D89" i="8"/>
  <c r="O89" i="28"/>
  <c r="N89" i="28"/>
  <c r="M89" i="28"/>
  <c r="L89" i="28"/>
  <c r="K89" i="28"/>
  <c r="J89" i="28"/>
  <c r="I89" i="28"/>
  <c r="H89" i="28"/>
  <c r="G89" i="28"/>
  <c r="F89" i="28"/>
  <c r="E89" i="28"/>
  <c r="D89" i="28"/>
  <c r="O89" i="12"/>
  <c r="N89" i="12"/>
  <c r="M89" i="12"/>
  <c r="L89" i="12"/>
  <c r="K89" i="12"/>
  <c r="J89" i="12"/>
  <c r="I89" i="12"/>
  <c r="H89" i="12"/>
  <c r="G89" i="12"/>
  <c r="F89" i="12"/>
  <c r="E89" i="12"/>
  <c r="D89" i="12"/>
  <c r="H76" i="1"/>
  <c r="O89" i="6"/>
  <c r="N89" i="6"/>
  <c r="M89" i="6"/>
  <c r="L89" i="6"/>
  <c r="K89" i="6"/>
  <c r="J89" i="6"/>
  <c r="I89" i="6"/>
  <c r="H89" i="6"/>
  <c r="G89" i="6"/>
  <c r="F89" i="6"/>
  <c r="E89" i="6"/>
  <c r="D89" i="6"/>
  <c r="D65" i="11" l="1"/>
  <c r="O65" i="11"/>
  <c r="N65" i="11"/>
  <c r="M65" i="11"/>
  <c r="L65" i="11"/>
  <c r="K65" i="11"/>
  <c r="J65" i="11"/>
  <c r="I65" i="11"/>
  <c r="H65" i="11"/>
  <c r="G65" i="11"/>
  <c r="F65" i="11"/>
  <c r="E65" i="11"/>
  <c r="O64" i="11"/>
  <c r="N64" i="11"/>
  <c r="M64" i="11"/>
  <c r="L64" i="11"/>
  <c r="K64" i="11"/>
  <c r="J64" i="11"/>
  <c r="I64" i="11"/>
  <c r="H64" i="11"/>
  <c r="G64" i="11"/>
  <c r="F64" i="11"/>
  <c r="E64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D64" i="11"/>
  <c r="O67" i="25"/>
  <c r="N67" i="25"/>
  <c r="M67" i="25"/>
  <c r="L67" i="25"/>
  <c r="K67" i="25"/>
  <c r="J67" i="25"/>
  <c r="I67" i="25"/>
  <c r="H67" i="25"/>
  <c r="G67" i="25"/>
  <c r="F67" i="25"/>
  <c r="E67" i="25"/>
  <c r="D67" i="25"/>
  <c r="O67" i="32"/>
  <c r="L67" i="32"/>
  <c r="I67" i="32"/>
  <c r="F67" i="32"/>
  <c r="O59" i="25"/>
  <c r="N59" i="25"/>
  <c r="M59" i="25"/>
  <c r="L59" i="25"/>
  <c r="K59" i="25"/>
  <c r="J59" i="25"/>
  <c r="I59" i="25"/>
  <c r="H59" i="25"/>
  <c r="G59" i="25"/>
  <c r="F59" i="25"/>
  <c r="E59" i="25"/>
  <c r="D59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D56" i="25"/>
  <c r="O56" i="25"/>
  <c r="N56" i="25"/>
  <c r="M56" i="25"/>
  <c r="L56" i="25"/>
  <c r="K56" i="25"/>
  <c r="J56" i="25"/>
  <c r="I56" i="25"/>
  <c r="H56" i="25"/>
  <c r="G56" i="25"/>
  <c r="F56" i="25"/>
  <c r="E56" i="25"/>
  <c r="T62" i="25"/>
  <c r="G7" i="21" l="1"/>
  <c r="K7" i="21" s="1"/>
  <c r="X7" i="21" l="1"/>
  <c r="T7" i="21"/>
  <c r="P7" i="21"/>
  <c r="R7" i="21"/>
  <c r="U7" i="21"/>
  <c r="Q7" i="21"/>
  <c r="W7" i="21"/>
  <c r="S7" i="21"/>
  <c r="O7" i="21"/>
  <c r="V7" i="21"/>
  <c r="N7" i="21"/>
  <c r="M7" i="21"/>
  <c r="O28" i="28" l="1"/>
  <c r="O28" i="9"/>
  <c r="O28" i="8"/>
  <c r="P106" i="1" l="1"/>
  <c r="P54" i="1"/>
  <c r="P51" i="6" l="1"/>
  <c r="O9" i="12" l="1"/>
  <c r="N9" i="12"/>
  <c r="M9" i="12"/>
  <c r="L9" i="12"/>
  <c r="K9" i="12"/>
  <c r="J9" i="12"/>
  <c r="I9" i="12"/>
  <c r="H9" i="12"/>
  <c r="G9" i="12"/>
  <c r="F9" i="12"/>
  <c r="E9" i="12"/>
  <c r="D9" i="12"/>
  <c r="O9" i="14"/>
  <c r="N9" i="14"/>
  <c r="M9" i="14"/>
  <c r="L9" i="14"/>
  <c r="K9" i="14"/>
  <c r="J9" i="14"/>
  <c r="I9" i="14"/>
  <c r="H9" i="14"/>
  <c r="G9" i="14"/>
  <c r="F9" i="14"/>
  <c r="E9" i="14"/>
  <c r="D9" i="14"/>
  <c r="O9" i="6"/>
  <c r="N9" i="6"/>
  <c r="M9" i="6"/>
  <c r="L9" i="6"/>
  <c r="K9" i="6"/>
  <c r="J9" i="6"/>
  <c r="I9" i="6"/>
  <c r="H9" i="6"/>
  <c r="G9" i="6"/>
  <c r="F9" i="6"/>
  <c r="E9" i="6"/>
  <c r="D9" i="6"/>
  <c r="O95" i="11"/>
  <c r="N95" i="11"/>
  <c r="M95" i="11"/>
  <c r="L95" i="11"/>
  <c r="K95" i="11"/>
  <c r="J95" i="11"/>
  <c r="I95" i="11"/>
  <c r="H95" i="11"/>
  <c r="G95" i="11"/>
  <c r="F95" i="11"/>
  <c r="E95" i="11"/>
  <c r="D95" i="11"/>
  <c r="O94" i="4"/>
  <c r="N94" i="4"/>
  <c r="M94" i="4"/>
  <c r="L94" i="4"/>
  <c r="K94" i="4"/>
  <c r="J94" i="4"/>
  <c r="I94" i="4"/>
  <c r="H94" i="4"/>
  <c r="G94" i="4"/>
  <c r="F94" i="4"/>
  <c r="E94" i="4"/>
  <c r="D94" i="4"/>
  <c r="O94" i="11"/>
  <c r="N94" i="11"/>
  <c r="M94" i="11"/>
  <c r="L94" i="11"/>
  <c r="K94" i="11"/>
  <c r="J94" i="11"/>
  <c r="I94" i="11"/>
  <c r="H94" i="11"/>
  <c r="G94" i="11"/>
  <c r="F94" i="11"/>
  <c r="E94" i="11"/>
  <c r="D94" i="11"/>
  <c r="D93" i="4" s="1"/>
  <c r="D17" i="11"/>
  <c r="D16" i="11"/>
  <c r="L94" i="1" l="1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I69" i="25"/>
  <c r="O69" i="25"/>
  <c r="N69" i="25"/>
  <c r="M69" i="25"/>
  <c r="L69" i="25"/>
  <c r="K69" i="25"/>
  <c r="J69" i="25"/>
  <c r="H69" i="25"/>
  <c r="G69" i="25"/>
  <c r="F69" i="25"/>
  <c r="E69" i="25"/>
  <c r="D69" i="25"/>
  <c r="R9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P11" i="11" l="1"/>
  <c r="O98" i="25"/>
  <c r="N98" i="25"/>
  <c r="M98" i="25"/>
  <c r="L98" i="25"/>
  <c r="K98" i="25"/>
  <c r="O55" i="4" l="1"/>
  <c r="N55" i="4"/>
  <c r="M55" i="4"/>
  <c r="L55" i="4"/>
  <c r="K55" i="4"/>
  <c r="J55" i="4"/>
  <c r="H55" i="4"/>
  <c r="G55" i="4"/>
  <c r="F55" i="4"/>
  <c r="E55" i="4"/>
  <c r="D55" i="4"/>
  <c r="D55" i="16"/>
  <c r="N70" i="16"/>
  <c r="M70" i="16" s="1"/>
  <c r="L70" i="16" s="1"/>
  <c r="K70" i="16" s="1"/>
  <c r="J70" i="16" s="1"/>
  <c r="I70" i="16" s="1"/>
  <c r="H70" i="16" s="1"/>
  <c r="G70" i="16" s="1"/>
  <c r="F70" i="16" s="1"/>
  <c r="E70" i="16" s="1"/>
  <c r="D70" i="16" s="1"/>
  <c r="N69" i="16"/>
  <c r="M69" i="16" s="1"/>
  <c r="L69" i="16" s="1"/>
  <c r="K69" i="16" s="1"/>
  <c r="J69" i="16" s="1"/>
  <c r="I69" i="16" s="1"/>
  <c r="H69" i="16" s="1"/>
  <c r="G69" i="16" s="1"/>
  <c r="F69" i="16" s="1"/>
  <c r="E69" i="16" s="1"/>
  <c r="D69" i="16" s="1"/>
  <c r="N66" i="16"/>
  <c r="M66" i="16" s="1"/>
  <c r="L66" i="16" s="1"/>
  <c r="K66" i="16" s="1"/>
  <c r="J66" i="16" s="1"/>
  <c r="I66" i="16" s="1"/>
  <c r="H66" i="16" s="1"/>
  <c r="G66" i="16" s="1"/>
  <c r="F66" i="16" s="1"/>
  <c r="E66" i="16" s="1"/>
  <c r="D66" i="16" s="1"/>
  <c r="N61" i="16"/>
  <c r="M61" i="16" s="1"/>
  <c r="L61" i="16" s="1"/>
  <c r="K61" i="16" s="1"/>
  <c r="J61" i="16" s="1"/>
  <c r="I61" i="16" s="1"/>
  <c r="H61" i="16" s="1"/>
  <c r="G61" i="16" s="1"/>
  <c r="F61" i="16" s="1"/>
  <c r="E61" i="16" s="1"/>
  <c r="D61" i="16" s="1"/>
  <c r="N59" i="16"/>
  <c r="M59" i="16" s="1"/>
  <c r="L59" i="16" s="1"/>
  <c r="K59" i="16" s="1"/>
  <c r="J59" i="16" s="1"/>
  <c r="I59" i="16" s="1"/>
  <c r="H59" i="16" s="1"/>
  <c r="G59" i="16" s="1"/>
  <c r="F59" i="16" s="1"/>
  <c r="E59" i="16" s="1"/>
  <c r="D59" i="16" s="1"/>
  <c r="N57" i="16"/>
  <c r="M57" i="16" s="1"/>
  <c r="L57" i="16" s="1"/>
  <c r="K57" i="16" s="1"/>
  <c r="J57" i="16" s="1"/>
  <c r="I57" i="16" s="1"/>
  <c r="H57" i="16" s="1"/>
  <c r="G57" i="16" s="1"/>
  <c r="F57" i="16" s="1"/>
  <c r="E57" i="16" s="1"/>
  <c r="D57" i="16" s="1"/>
  <c r="N56" i="16"/>
  <c r="M56" i="16"/>
  <c r="L56" i="16" s="1"/>
  <c r="K56" i="16" s="1"/>
  <c r="J56" i="16" s="1"/>
  <c r="I56" i="16" s="1"/>
  <c r="H56" i="16" s="1"/>
  <c r="G56" i="16" s="1"/>
  <c r="F56" i="16" s="1"/>
  <c r="E56" i="16" s="1"/>
  <c r="D56" i="16" s="1"/>
  <c r="M55" i="16"/>
  <c r="L55" i="16"/>
  <c r="K55" i="16"/>
  <c r="J55" i="16"/>
  <c r="I55" i="16" s="1"/>
  <c r="H55" i="16" s="1"/>
  <c r="G55" i="16" s="1"/>
  <c r="F55" i="16" s="1"/>
  <c r="E55" i="16" s="1"/>
  <c r="N55" i="16"/>
  <c r="O70" i="16"/>
  <c r="O69" i="16"/>
  <c r="O66" i="16"/>
  <c r="O61" i="16"/>
  <c r="O59" i="16"/>
  <c r="O57" i="16"/>
  <c r="O56" i="16"/>
  <c r="O55" i="16"/>
  <c r="E78" i="17"/>
  <c r="F78" i="17" s="1"/>
  <c r="G78" i="17" s="1"/>
  <c r="H78" i="17" s="1"/>
  <c r="I78" i="17" s="1"/>
  <c r="J78" i="17" s="1"/>
  <c r="K78" i="17" s="1"/>
  <c r="L78" i="17" s="1"/>
  <c r="M78" i="17" s="1"/>
  <c r="N78" i="17" s="1"/>
  <c r="O78" i="17" s="1"/>
  <c r="E74" i="17"/>
  <c r="F74" i="17" s="1"/>
  <c r="G74" i="17" s="1"/>
  <c r="H74" i="17" s="1"/>
  <c r="I74" i="17" s="1"/>
  <c r="J74" i="17" s="1"/>
  <c r="K74" i="17" s="1"/>
  <c r="L74" i="17" s="1"/>
  <c r="M74" i="17" s="1"/>
  <c r="N74" i="17" s="1"/>
  <c r="O74" i="17" s="1"/>
  <c r="E70" i="17"/>
  <c r="F70" i="17" s="1"/>
  <c r="G70" i="17" s="1"/>
  <c r="H70" i="17" s="1"/>
  <c r="I70" i="17" s="1"/>
  <c r="J70" i="17" s="1"/>
  <c r="K70" i="17" s="1"/>
  <c r="L70" i="17" s="1"/>
  <c r="M70" i="17" s="1"/>
  <c r="N70" i="17" s="1"/>
  <c r="O70" i="17" s="1"/>
  <c r="D70" i="17"/>
  <c r="E69" i="17"/>
  <c r="F69" i="17" s="1"/>
  <c r="G69" i="17" s="1"/>
  <c r="H69" i="17" s="1"/>
  <c r="I69" i="17" s="1"/>
  <c r="J69" i="17" s="1"/>
  <c r="K69" i="17" s="1"/>
  <c r="L69" i="17" s="1"/>
  <c r="M69" i="17" s="1"/>
  <c r="N69" i="17" s="1"/>
  <c r="O69" i="17" s="1"/>
  <c r="E61" i="17"/>
  <c r="F61" i="17" s="1"/>
  <c r="G61" i="17" s="1"/>
  <c r="H61" i="17" s="1"/>
  <c r="I61" i="17" s="1"/>
  <c r="J61" i="17" s="1"/>
  <c r="K61" i="17" s="1"/>
  <c r="L61" i="17" s="1"/>
  <c r="M61" i="17" s="1"/>
  <c r="N61" i="17" s="1"/>
  <c r="O61" i="17" s="1"/>
  <c r="E60" i="17"/>
  <c r="F60" i="17" s="1"/>
  <c r="G60" i="17" s="1"/>
  <c r="H60" i="17" s="1"/>
  <c r="I60" i="17" s="1"/>
  <c r="J60" i="17" s="1"/>
  <c r="K60" i="17" s="1"/>
  <c r="L60" i="17" s="1"/>
  <c r="M60" i="17" s="1"/>
  <c r="N60" i="17" s="1"/>
  <c r="O60" i="17" s="1"/>
  <c r="F59" i="17"/>
  <c r="G59" i="17" s="1"/>
  <c r="H59" i="17" s="1"/>
  <c r="I59" i="17" s="1"/>
  <c r="J59" i="17" s="1"/>
  <c r="K59" i="17" s="1"/>
  <c r="L59" i="17" s="1"/>
  <c r="M59" i="17" s="1"/>
  <c r="N59" i="17" s="1"/>
  <c r="O59" i="17" s="1"/>
  <c r="E59" i="17"/>
  <c r="E58" i="17"/>
  <c r="F58" i="17" s="1"/>
  <c r="G58" i="17" s="1"/>
  <c r="H58" i="17" s="1"/>
  <c r="I58" i="17" s="1"/>
  <c r="J58" i="17" s="1"/>
  <c r="K58" i="17" s="1"/>
  <c r="L58" i="17" s="1"/>
  <c r="M58" i="17" s="1"/>
  <c r="N58" i="17" s="1"/>
  <c r="O58" i="17" s="1"/>
  <c r="E56" i="17"/>
  <c r="F56" i="17" s="1"/>
  <c r="G56" i="17" s="1"/>
  <c r="H56" i="17" s="1"/>
  <c r="I56" i="17" s="1"/>
  <c r="J56" i="17" s="1"/>
  <c r="K56" i="17" s="1"/>
  <c r="L56" i="17" s="1"/>
  <c r="M56" i="17" s="1"/>
  <c r="N56" i="17" s="1"/>
  <c r="O56" i="17" s="1"/>
  <c r="F55" i="17"/>
  <c r="G55" i="17" s="1"/>
  <c r="H55" i="17" s="1"/>
  <c r="I55" i="17" s="1"/>
  <c r="J55" i="17" s="1"/>
  <c r="K55" i="17" s="1"/>
  <c r="L55" i="17" s="1"/>
  <c r="M55" i="17" s="1"/>
  <c r="N55" i="17" s="1"/>
  <c r="O55" i="17" s="1"/>
  <c r="E55" i="17"/>
  <c r="D78" i="17"/>
  <c r="D74" i="17"/>
  <c r="D69" i="17"/>
  <c r="D61" i="17"/>
  <c r="D60" i="17"/>
  <c r="D59" i="17"/>
  <c r="D56" i="17"/>
  <c r="D55" i="17"/>
  <c r="P75" i="14"/>
  <c r="P10" i="6"/>
  <c r="P9" i="6"/>
  <c r="P8" i="6"/>
  <c r="P7" i="6"/>
  <c r="P5" i="6"/>
  <c r="P9" i="14"/>
  <c r="P8" i="14"/>
  <c r="P7" i="14"/>
  <c r="P10" i="12"/>
  <c r="P9" i="12"/>
  <c r="P8" i="12"/>
  <c r="P7" i="12"/>
  <c r="C26" i="21"/>
  <c r="N75" i="2"/>
  <c r="M75" i="2"/>
  <c r="L75" i="2"/>
  <c r="K75" i="2"/>
  <c r="J75" i="2"/>
  <c r="I75" i="2"/>
  <c r="H75" i="2"/>
  <c r="G75" i="2"/>
  <c r="F75" i="2"/>
  <c r="E75" i="2"/>
  <c r="D75" i="2"/>
  <c r="D76" i="2"/>
  <c r="P75" i="28"/>
  <c r="D8" i="32" l="1"/>
  <c r="D8" i="28"/>
  <c r="F10" i="28"/>
  <c r="F10" i="32"/>
  <c r="O83" i="11" l="1"/>
  <c r="N83" i="11"/>
  <c r="M83" i="11"/>
  <c r="L83" i="11"/>
  <c r="K83" i="11"/>
  <c r="J83" i="11"/>
  <c r="I83" i="11"/>
  <c r="H83" i="11"/>
  <c r="G83" i="11"/>
  <c r="F83" i="11"/>
  <c r="E83" i="11"/>
  <c r="D83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O17" i="11"/>
  <c r="N17" i="11"/>
  <c r="M17" i="11"/>
  <c r="L17" i="11"/>
  <c r="K17" i="11"/>
  <c r="J17" i="11"/>
  <c r="I17" i="11"/>
  <c r="H17" i="11"/>
  <c r="G17" i="11"/>
  <c r="F17" i="11"/>
  <c r="E17" i="11"/>
  <c r="O16" i="11"/>
  <c r="N16" i="11"/>
  <c r="M16" i="11"/>
  <c r="L16" i="11"/>
  <c r="K16" i="11"/>
  <c r="J16" i="11"/>
  <c r="I16" i="11"/>
  <c r="H16" i="11"/>
  <c r="G16" i="11"/>
  <c r="F16" i="11"/>
  <c r="E16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O9" i="11"/>
  <c r="N9" i="11"/>
  <c r="M9" i="11"/>
  <c r="L9" i="11"/>
  <c r="K9" i="11"/>
  <c r="J9" i="11"/>
  <c r="I9" i="11"/>
  <c r="H9" i="11"/>
  <c r="G9" i="11"/>
  <c r="F9" i="11"/>
  <c r="E9" i="11"/>
  <c r="D9" i="11"/>
  <c r="O6" i="11"/>
  <c r="N6" i="11"/>
  <c r="M6" i="11"/>
  <c r="L6" i="11"/>
  <c r="K6" i="11"/>
  <c r="J6" i="11"/>
  <c r="I6" i="11"/>
  <c r="H6" i="11"/>
  <c r="G6" i="11"/>
  <c r="F6" i="11"/>
  <c r="E6" i="11"/>
  <c r="D6" i="11"/>
  <c r="O105" i="33"/>
  <c r="N105" i="33"/>
  <c r="M105" i="33"/>
  <c r="L105" i="33"/>
  <c r="K105" i="33"/>
  <c r="J105" i="33"/>
  <c r="I105" i="33"/>
  <c r="H105" i="33"/>
  <c r="G105" i="33"/>
  <c r="F105" i="33"/>
  <c r="E105" i="33"/>
  <c r="D105" i="33"/>
  <c r="P104" i="33"/>
  <c r="P103" i="33"/>
  <c r="P102" i="33"/>
  <c r="P101" i="33"/>
  <c r="P100" i="33"/>
  <c r="P99" i="33"/>
  <c r="P98" i="33"/>
  <c r="P97" i="33"/>
  <c r="P96" i="33"/>
  <c r="P95" i="33"/>
  <c r="P94" i="33"/>
  <c r="P93" i="33"/>
  <c r="P92" i="33"/>
  <c r="P91" i="33"/>
  <c r="P90" i="33"/>
  <c r="P89" i="33"/>
  <c r="P88" i="33"/>
  <c r="P87" i="33"/>
  <c r="P86" i="33"/>
  <c r="O84" i="33"/>
  <c r="N84" i="33"/>
  <c r="M84" i="33"/>
  <c r="L84" i="33"/>
  <c r="K84" i="33"/>
  <c r="J84" i="33"/>
  <c r="I84" i="33"/>
  <c r="H84" i="33"/>
  <c r="G84" i="33"/>
  <c r="F84" i="33"/>
  <c r="E84" i="33"/>
  <c r="D84" i="33"/>
  <c r="P83" i="33"/>
  <c r="P82" i="33"/>
  <c r="P81" i="33"/>
  <c r="P80" i="33"/>
  <c r="P79" i="33"/>
  <c r="P78" i="33"/>
  <c r="P77" i="33"/>
  <c r="P76" i="33"/>
  <c r="P75" i="33"/>
  <c r="P74" i="33"/>
  <c r="P73" i="33"/>
  <c r="P72" i="33"/>
  <c r="P71" i="33"/>
  <c r="P70" i="33"/>
  <c r="P69" i="33"/>
  <c r="P68" i="33"/>
  <c r="P67" i="33"/>
  <c r="P66" i="33"/>
  <c r="P65" i="33"/>
  <c r="P64" i="33"/>
  <c r="P63" i="33"/>
  <c r="P62" i="33"/>
  <c r="P61" i="33"/>
  <c r="P60" i="33"/>
  <c r="P59" i="33"/>
  <c r="P58" i="33"/>
  <c r="P57" i="33"/>
  <c r="P56" i="33"/>
  <c r="P55" i="33"/>
  <c r="O53" i="33"/>
  <c r="N53" i="33"/>
  <c r="M53" i="33"/>
  <c r="L53" i="33"/>
  <c r="K53" i="33"/>
  <c r="J53" i="33"/>
  <c r="I53" i="33"/>
  <c r="H53" i="33"/>
  <c r="G53" i="33"/>
  <c r="F53" i="33"/>
  <c r="E53" i="33"/>
  <c r="D53" i="33"/>
  <c r="P52" i="33"/>
  <c r="P51" i="33"/>
  <c r="P50" i="33"/>
  <c r="P49" i="33"/>
  <c r="P48" i="33"/>
  <c r="P47" i="33"/>
  <c r="P46" i="33"/>
  <c r="P45" i="33"/>
  <c r="P42" i="33"/>
  <c r="P31" i="33"/>
  <c r="P30" i="33"/>
  <c r="P29" i="33"/>
  <c r="P28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P25" i="33"/>
  <c r="P24" i="33"/>
  <c r="P23" i="33"/>
  <c r="P22" i="33"/>
  <c r="P21" i="33"/>
  <c r="P26" i="33" s="1"/>
  <c r="P20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P17" i="33"/>
  <c r="P16" i="33"/>
  <c r="P15" i="33"/>
  <c r="P14" i="33"/>
  <c r="P18" i="33" s="1"/>
  <c r="P11" i="33"/>
  <c r="P10" i="33"/>
  <c r="P9" i="33"/>
  <c r="O8" i="33"/>
  <c r="O12" i="33" s="1"/>
  <c r="N8" i="33"/>
  <c r="M8" i="33"/>
  <c r="L8" i="33"/>
  <c r="K8" i="33"/>
  <c r="K12" i="33" s="1"/>
  <c r="J8" i="33"/>
  <c r="I8" i="33"/>
  <c r="H8" i="33"/>
  <c r="G8" i="33"/>
  <c r="P8" i="33" s="1"/>
  <c r="F8" i="33"/>
  <c r="E8" i="33"/>
  <c r="D8" i="33"/>
  <c r="O7" i="33"/>
  <c r="N7" i="33"/>
  <c r="N12" i="33" s="1"/>
  <c r="M7" i="33"/>
  <c r="M12" i="33" s="1"/>
  <c r="L7" i="33"/>
  <c r="L12" i="33" s="1"/>
  <c r="K7" i="33"/>
  <c r="J7" i="33"/>
  <c r="J12" i="33" s="1"/>
  <c r="I7" i="33"/>
  <c r="I12" i="33" s="1"/>
  <c r="H7" i="33"/>
  <c r="H12" i="33" s="1"/>
  <c r="G7" i="33"/>
  <c r="F7" i="33"/>
  <c r="F12" i="33" s="1"/>
  <c r="E7" i="33"/>
  <c r="E12" i="33" s="1"/>
  <c r="D7" i="33"/>
  <c r="D12" i="33" s="1"/>
  <c r="P6" i="33"/>
  <c r="O105" i="34"/>
  <c r="N105" i="34"/>
  <c r="M105" i="34"/>
  <c r="L105" i="34"/>
  <c r="K105" i="34"/>
  <c r="J105" i="34"/>
  <c r="I105" i="34"/>
  <c r="H105" i="34"/>
  <c r="G105" i="34"/>
  <c r="F105" i="34"/>
  <c r="E105" i="34"/>
  <c r="D105" i="34"/>
  <c r="P104" i="34"/>
  <c r="P103" i="34"/>
  <c r="P102" i="34"/>
  <c r="P101" i="34"/>
  <c r="P100" i="34"/>
  <c r="P99" i="34"/>
  <c r="P98" i="34"/>
  <c r="P97" i="34"/>
  <c r="P96" i="34"/>
  <c r="P95" i="34"/>
  <c r="P94" i="34"/>
  <c r="P93" i="34"/>
  <c r="P92" i="34"/>
  <c r="P91" i="34"/>
  <c r="P90" i="34"/>
  <c r="P89" i="34"/>
  <c r="P88" i="34"/>
  <c r="P87" i="34"/>
  <c r="P86" i="34"/>
  <c r="O84" i="34"/>
  <c r="N84" i="34"/>
  <c r="M84" i="34"/>
  <c r="L84" i="34"/>
  <c r="K84" i="34"/>
  <c r="J84" i="34"/>
  <c r="I84" i="34"/>
  <c r="H84" i="34"/>
  <c r="G84" i="34"/>
  <c r="F84" i="34"/>
  <c r="E84" i="34"/>
  <c r="D84" i="34"/>
  <c r="P83" i="34"/>
  <c r="P82" i="34"/>
  <c r="P81" i="34"/>
  <c r="P80" i="34"/>
  <c r="P79" i="34"/>
  <c r="P78" i="34"/>
  <c r="P77" i="34"/>
  <c r="P76" i="34"/>
  <c r="P75" i="34"/>
  <c r="P74" i="34"/>
  <c r="P73" i="34"/>
  <c r="P72" i="34"/>
  <c r="P71" i="34"/>
  <c r="P70" i="34"/>
  <c r="P69" i="34"/>
  <c r="P68" i="34"/>
  <c r="P67" i="34"/>
  <c r="P66" i="34"/>
  <c r="P65" i="34"/>
  <c r="P64" i="34"/>
  <c r="P63" i="34"/>
  <c r="P62" i="34"/>
  <c r="P61" i="34"/>
  <c r="P60" i="34"/>
  <c r="P59" i="34"/>
  <c r="P58" i="34"/>
  <c r="P57" i="34"/>
  <c r="P56" i="34"/>
  <c r="P55" i="34"/>
  <c r="O53" i="34"/>
  <c r="N53" i="34"/>
  <c r="M53" i="34"/>
  <c r="L53" i="34"/>
  <c r="K53" i="34"/>
  <c r="J53" i="34"/>
  <c r="I53" i="34"/>
  <c r="H53" i="34"/>
  <c r="G53" i="34"/>
  <c r="F53" i="34"/>
  <c r="E53" i="34"/>
  <c r="D53" i="34"/>
  <c r="P52" i="34"/>
  <c r="P51" i="34"/>
  <c r="P50" i="34"/>
  <c r="P49" i="34"/>
  <c r="P48" i="34"/>
  <c r="P47" i="34"/>
  <c r="P46" i="34"/>
  <c r="P45" i="34"/>
  <c r="P42" i="34"/>
  <c r="P31" i="34"/>
  <c r="P30" i="34"/>
  <c r="P29" i="34"/>
  <c r="P28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P25" i="34"/>
  <c r="P24" i="34"/>
  <c r="P23" i="34"/>
  <c r="P22" i="34"/>
  <c r="P26" i="34" s="1"/>
  <c r="P21" i="34"/>
  <c r="P20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P17" i="34"/>
  <c r="P16" i="34"/>
  <c r="P15" i="34"/>
  <c r="P14" i="34"/>
  <c r="P11" i="34"/>
  <c r="P10" i="34"/>
  <c r="P9" i="34"/>
  <c r="O8" i="34"/>
  <c r="O12" i="34" s="1"/>
  <c r="O32" i="34" s="1"/>
  <c r="N8" i="34"/>
  <c r="M8" i="34"/>
  <c r="L8" i="34"/>
  <c r="L12" i="34" s="1"/>
  <c r="K8" i="34"/>
  <c r="K12" i="34" s="1"/>
  <c r="J8" i="34"/>
  <c r="I8" i="34"/>
  <c r="H8" i="34"/>
  <c r="P8" i="34" s="1"/>
  <c r="G8" i="34"/>
  <c r="G12" i="34" s="1"/>
  <c r="G32" i="34" s="1"/>
  <c r="F8" i="34"/>
  <c r="E8" i="34"/>
  <c r="D8" i="34"/>
  <c r="D12" i="34" s="1"/>
  <c r="O7" i="34"/>
  <c r="N7" i="34"/>
  <c r="N12" i="34" s="1"/>
  <c r="N32" i="34" s="1"/>
  <c r="M7" i="34"/>
  <c r="M12" i="34" s="1"/>
  <c r="L7" i="34"/>
  <c r="K7" i="34"/>
  <c r="J7" i="34"/>
  <c r="J12" i="34" s="1"/>
  <c r="J32" i="34" s="1"/>
  <c r="I7" i="34"/>
  <c r="I12" i="34" s="1"/>
  <c r="H7" i="34"/>
  <c r="G7" i="34"/>
  <c r="F7" i="34"/>
  <c r="F12" i="34" s="1"/>
  <c r="F32" i="34" s="1"/>
  <c r="E7" i="34"/>
  <c r="P7" i="34" s="1"/>
  <c r="D7" i="34"/>
  <c r="P6" i="34"/>
  <c r="O28" i="2"/>
  <c r="N28" i="2"/>
  <c r="M28" i="2"/>
  <c r="L28" i="2"/>
  <c r="K28" i="2"/>
  <c r="J28" i="2"/>
  <c r="I28" i="2"/>
  <c r="H28" i="2"/>
  <c r="G28" i="2"/>
  <c r="F28" i="2"/>
  <c r="E28" i="2"/>
  <c r="D28" i="2"/>
  <c r="O25" i="2"/>
  <c r="N25" i="2"/>
  <c r="M25" i="2"/>
  <c r="L25" i="2"/>
  <c r="K25" i="2"/>
  <c r="J25" i="2"/>
  <c r="I25" i="2"/>
  <c r="H25" i="2"/>
  <c r="G25" i="2"/>
  <c r="F25" i="2"/>
  <c r="E25" i="2"/>
  <c r="D25" i="2"/>
  <c r="P25" i="2" s="1"/>
  <c r="O24" i="2"/>
  <c r="N24" i="2"/>
  <c r="M24" i="2"/>
  <c r="L24" i="2"/>
  <c r="K24" i="2"/>
  <c r="J24" i="2"/>
  <c r="I24" i="2"/>
  <c r="H24" i="2"/>
  <c r="G24" i="2"/>
  <c r="F24" i="2"/>
  <c r="E24" i="2"/>
  <c r="D24" i="2"/>
  <c r="P24" i="2" s="1"/>
  <c r="O23" i="2"/>
  <c r="N23" i="2"/>
  <c r="M23" i="2"/>
  <c r="L23" i="2"/>
  <c r="K23" i="2"/>
  <c r="J23" i="2"/>
  <c r="I23" i="2"/>
  <c r="H23" i="2"/>
  <c r="G23" i="2"/>
  <c r="F23" i="2"/>
  <c r="E23" i="2"/>
  <c r="D23" i="2"/>
  <c r="P23" i="2" s="1"/>
  <c r="O22" i="2"/>
  <c r="N22" i="2"/>
  <c r="M22" i="2"/>
  <c r="L22" i="2"/>
  <c r="K22" i="2"/>
  <c r="J22" i="2"/>
  <c r="I22" i="2"/>
  <c r="H22" i="2"/>
  <c r="G22" i="2"/>
  <c r="F22" i="2"/>
  <c r="E22" i="2"/>
  <c r="D22" i="2"/>
  <c r="P22" i="2" s="1"/>
  <c r="O21" i="2"/>
  <c r="N21" i="2"/>
  <c r="M21" i="2"/>
  <c r="L21" i="2"/>
  <c r="K21" i="2"/>
  <c r="J21" i="2"/>
  <c r="I21" i="2"/>
  <c r="H21" i="2"/>
  <c r="G21" i="2"/>
  <c r="F21" i="2"/>
  <c r="E21" i="2"/>
  <c r="D21" i="2"/>
  <c r="P21" i="2" s="1"/>
  <c r="O20" i="2"/>
  <c r="N20" i="2"/>
  <c r="M20" i="2"/>
  <c r="L20" i="2"/>
  <c r="K20" i="2"/>
  <c r="J20" i="2"/>
  <c r="I20" i="2"/>
  <c r="H20" i="2"/>
  <c r="G20" i="2"/>
  <c r="F20" i="2"/>
  <c r="E20" i="2"/>
  <c r="D20" i="2"/>
  <c r="P20" i="2" s="1"/>
  <c r="O31" i="2"/>
  <c r="N31" i="2"/>
  <c r="M31" i="2"/>
  <c r="L31" i="2"/>
  <c r="K31" i="2"/>
  <c r="J31" i="2"/>
  <c r="I31" i="2"/>
  <c r="H31" i="2"/>
  <c r="G31" i="2"/>
  <c r="F31" i="2"/>
  <c r="E31" i="2"/>
  <c r="D31" i="2"/>
  <c r="E32" i="33" l="1"/>
  <c r="M32" i="33"/>
  <c r="I32" i="33"/>
  <c r="P9" i="11"/>
  <c r="P10" i="11"/>
  <c r="P53" i="33"/>
  <c r="P53" i="34"/>
  <c r="P84" i="33"/>
  <c r="P84" i="34"/>
  <c r="P18" i="34"/>
  <c r="P105" i="34"/>
  <c r="P105" i="33"/>
  <c r="F32" i="33"/>
  <c r="J32" i="33"/>
  <c r="N32" i="33"/>
  <c r="K32" i="33"/>
  <c r="O32" i="33"/>
  <c r="H32" i="33"/>
  <c r="L32" i="33"/>
  <c r="D32" i="33"/>
  <c r="K32" i="34"/>
  <c r="I32" i="34"/>
  <c r="M32" i="34"/>
  <c r="L32" i="34"/>
  <c r="D32" i="34"/>
  <c r="P12" i="34"/>
  <c r="P32" i="34" s="1"/>
  <c r="P7" i="33"/>
  <c r="P12" i="33" s="1"/>
  <c r="P32" i="33" s="1"/>
  <c r="G12" i="33"/>
  <c r="G32" i="33" s="1"/>
  <c r="H12" i="34"/>
  <c r="H32" i="34" s="1"/>
  <c r="E12" i="34"/>
  <c r="E32" i="34" s="1"/>
  <c r="P37" i="34"/>
  <c r="P28" i="2"/>
  <c r="L10" i="1" l="1"/>
  <c r="K10" i="1"/>
  <c r="J10" i="1"/>
  <c r="I10" i="1"/>
  <c r="H10" i="1"/>
  <c r="G10" i="1"/>
  <c r="E8" i="8"/>
  <c r="D8" i="8"/>
  <c r="L8" i="1"/>
  <c r="K8" i="1"/>
  <c r="J8" i="1"/>
  <c r="I8" i="1"/>
  <c r="G8" i="1"/>
  <c r="P76" i="16" l="1"/>
  <c r="P10" i="16"/>
  <c r="P9" i="16"/>
  <c r="P8" i="16"/>
  <c r="P10" i="17"/>
  <c r="P9" i="17"/>
  <c r="P8" i="17"/>
  <c r="P10" i="31"/>
  <c r="P9" i="31"/>
  <c r="O8" i="31"/>
  <c r="N8" i="31"/>
  <c r="M8" i="31"/>
  <c r="L8" i="31"/>
  <c r="K8" i="31"/>
  <c r="J8" i="31"/>
  <c r="I8" i="31"/>
  <c r="H8" i="31"/>
  <c r="G8" i="31"/>
  <c r="F8" i="31"/>
  <c r="E8" i="31"/>
  <c r="P8" i="31" s="1"/>
  <c r="D8" i="31"/>
  <c r="P10" i="18"/>
  <c r="P9" i="18"/>
  <c r="O8" i="18"/>
  <c r="N8" i="18"/>
  <c r="M8" i="18"/>
  <c r="M8" i="11" s="1"/>
  <c r="L8" i="18"/>
  <c r="L8" i="11" s="1"/>
  <c r="K8" i="18"/>
  <c r="J8" i="18"/>
  <c r="I8" i="18"/>
  <c r="I8" i="11" s="1"/>
  <c r="H8" i="18"/>
  <c r="H8" i="11" s="1"/>
  <c r="G8" i="18"/>
  <c r="F8" i="18"/>
  <c r="E8" i="18"/>
  <c r="E8" i="11" s="1"/>
  <c r="D8" i="18"/>
  <c r="D8" i="11" s="1"/>
  <c r="P10" i="5"/>
  <c r="P9" i="5"/>
  <c r="P8" i="5"/>
  <c r="P7" i="5"/>
  <c r="P11" i="10"/>
  <c r="P10" i="10"/>
  <c r="P9" i="10"/>
  <c r="P8" i="10"/>
  <c r="P10" i="13"/>
  <c r="P9" i="13"/>
  <c r="P8" i="13"/>
  <c r="P10" i="14"/>
  <c r="O10" i="7"/>
  <c r="N10" i="7"/>
  <c r="M10" i="7"/>
  <c r="L10" i="7"/>
  <c r="K10" i="7"/>
  <c r="J10" i="7"/>
  <c r="I10" i="7"/>
  <c r="H10" i="7"/>
  <c r="G10" i="7"/>
  <c r="F10" i="7"/>
  <c r="E10" i="7"/>
  <c r="D10" i="7"/>
  <c r="P10" i="7" s="1"/>
  <c r="O9" i="7"/>
  <c r="N9" i="7"/>
  <c r="M9" i="7"/>
  <c r="L9" i="7"/>
  <c r="K9" i="7"/>
  <c r="J9" i="7"/>
  <c r="I9" i="7"/>
  <c r="H9" i="7"/>
  <c r="G9" i="7"/>
  <c r="F9" i="7"/>
  <c r="E9" i="7"/>
  <c r="D9" i="7"/>
  <c r="O8" i="7"/>
  <c r="N8" i="7"/>
  <c r="M8" i="7"/>
  <c r="L8" i="7"/>
  <c r="K8" i="7"/>
  <c r="J8" i="7"/>
  <c r="I8" i="7"/>
  <c r="H8" i="7"/>
  <c r="G8" i="7"/>
  <c r="F8" i="7"/>
  <c r="E8" i="7"/>
  <c r="D8" i="7"/>
  <c r="P8" i="7" s="1"/>
  <c r="P10" i="32"/>
  <c r="P9" i="32"/>
  <c r="O8" i="32"/>
  <c r="N8" i="32"/>
  <c r="N8" i="2" s="1"/>
  <c r="M8" i="32"/>
  <c r="L8" i="32"/>
  <c r="K8" i="32"/>
  <c r="J8" i="32"/>
  <c r="I8" i="32"/>
  <c r="H8" i="32"/>
  <c r="G8" i="32"/>
  <c r="F8" i="32"/>
  <c r="E8" i="32"/>
  <c r="E8" i="2" s="1"/>
  <c r="P11" i="28"/>
  <c r="P10" i="28"/>
  <c r="P9" i="28"/>
  <c r="P8" i="28"/>
  <c r="M10" i="2"/>
  <c r="L10" i="2"/>
  <c r="L10" i="4" s="1"/>
  <c r="I10" i="2"/>
  <c r="H10" i="2"/>
  <c r="H10" i="4" s="1"/>
  <c r="E10" i="2"/>
  <c r="P11" i="8"/>
  <c r="P10" i="8"/>
  <c r="P9" i="8"/>
  <c r="P8" i="8"/>
  <c r="O8" i="8"/>
  <c r="N8" i="8"/>
  <c r="M8" i="8"/>
  <c r="L8" i="8"/>
  <c r="L8" i="2" s="1"/>
  <c r="K8" i="8"/>
  <c r="J8" i="8"/>
  <c r="I8" i="8"/>
  <c r="H8" i="8"/>
  <c r="H8" i="2" s="1"/>
  <c r="G8" i="8"/>
  <c r="F8" i="8"/>
  <c r="O11" i="2"/>
  <c r="O11" i="4" s="1"/>
  <c r="N11" i="2"/>
  <c r="N11" i="4" s="1"/>
  <c r="M11" i="2"/>
  <c r="M11" i="4" s="1"/>
  <c r="L11" i="2"/>
  <c r="L11" i="4" s="1"/>
  <c r="K11" i="2"/>
  <c r="K11" i="4" s="1"/>
  <c r="J11" i="2"/>
  <c r="J11" i="4" s="1"/>
  <c r="I11" i="2"/>
  <c r="I11" i="4" s="1"/>
  <c r="H11" i="2"/>
  <c r="G11" i="2"/>
  <c r="G11" i="4" s="1"/>
  <c r="F11" i="2"/>
  <c r="F11" i="4" s="1"/>
  <c r="E11" i="2"/>
  <c r="E11" i="4" s="1"/>
  <c r="D11" i="2"/>
  <c r="O10" i="2"/>
  <c r="O10" i="4" s="1"/>
  <c r="N10" i="2"/>
  <c r="K10" i="2"/>
  <c r="J10" i="2"/>
  <c r="G10" i="2"/>
  <c r="G10" i="4" s="1"/>
  <c r="F10" i="2"/>
  <c r="D10" i="2"/>
  <c r="O9" i="2"/>
  <c r="N9" i="2"/>
  <c r="M9" i="2"/>
  <c r="L9" i="2"/>
  <c r="K9" i="2"/>
  <c r="J9" i="2"/>
  <c r="I9" i="2"/>
  <c r="I9" i="4" s="1"/>
  <c r="H9" i="2"/>
  <c r="G9" i="2"/>
  <c r="F9" i="2"/>
  <c r="F9" i="4" s="1"/>
  <c r="E9" i="2"/>
  <c r="D9" i="2"/>
  <c r="O8" i="2"/>
  <c r="M8" i="2"/>
  <c r="K8" i="2"/>
  <c r="J8" i="2"/>
  <c r="I8" i="2"/>
  <c r="F8" i="2"/>
  <c r="D8" i="2"/>
  <c r="H11" i="4"/>
  <c r="M9" i="4"/>
  <c r="E9" i="4"/>
  <c r="P11" i="9"/>
  <c r="P10" i="9"/>
  <c r="P9" i="9"/>
  <c r="P8" i="9"/>
  <c r="P7" i="9"/>
  <c r="O8" i="9"/>
  <c r="N8" i="9"/>
  <c r="M8" i="9"/>
  <c r="L8" i="9"/>
  <c r="K8" i="9"/>
  <c r="J8" i="9"/>
  <c r="I8" i="9"/>
  <c r="H8" i="9"/>
  <c r="G8" i="9"/>
  <c r="F8" i="9"/>
  <c r="E8" i="9"/>
  <c r="D8" i="9"/>
  <c r="H9" i="4" l="1"/>
  <c r="L9" i="4"/>
  <c r="P9" i="7"/>
  <c r="F8" i="11"/>
  <c r="J8" i="11"/>
  <c r="N8" i="11"/>
  <c r="G8" i="11"/>
  <c r="K8" i="11"/>
  <c r="K8" i="4" s="1"/>
  <c r="O8" i="11"/>
  <c r="P8" i="18"/>
  <c r="P11" i="2"/>
  <c r="D11" i="4"/>
  <c r="P9" i="2"/>
  <c r="D9" i="4"/>
  <c r="P8" i="32"/>
  <c r="I8" i="4"/>
  <c r="G8" i="2"/>
  <c r="P8" i="2" s="1"/>
  <c r="F8" i="1" s="1"/>
  <c r="E8" i="4"/>
  <c r="H8" i="4"/>
  <c r="L8" i="4"/>
  <c r="M8" i="4"/>
  <c r="N8" i="4"/>
  <c r="K10" i="4"/>
  <c r="F10" i="4"/>
  <c r="N10" i="4"/>
  <c r="J8" i="4"/>
  <c r="J9" i="4"/>
  <c r="N9" i="4"/>
  <c r="O8" i="4"/>
  <c r="D8" i="4"/>
  <c r="E10" i="4"/>
  <c r="I10" i="4"/>
  <c r="M10" i="4"/>
  <c r="G9" i="4"/>
  <c r="K9" i="4"/>
  <c r="O9" i="4"/>
  <c r="J10" i="4"/>
  <c r="P10" i="2"/>
  <c r="F10" i="1" s="1"/>
  <c r="M10" i="1" s="1"/>
  <c r="D10" i="4"/>
  <c r="P8" i="11" l="1"/>
  <c r="F8" i="4"/>
  <c r="H8" i="1"/>
  <c r="M8" i="1" s="1"/>
  <c r="G8" i="4"/>
  <c r="P9" i="4"/>
  <c r="P10" i="4"/>
  <c r="P8" i="4" l="1"/>
  <c r="K50" i="1"/>
  <c r="I50" i="1"/>
  <c r="P50" i="9"/>
  <c r="P50" i="8"/>
  <c r="P49" i="8"/>
  <c r="P50" i="28"/>
  <c r="P49" i="28"/>
  <c r="P48" i="28"/>
  <c r="P46" i="28"/>
  <c r="P52" i="32"/>
  <c r="P51" i="32"/>
  <c r="P50" i="32"/>
  <c r="P49" i="32"/>
  <c r="P48" i="32"/>
  <c r="P47" i="32"/>
  <c r="P46" i="32"/>
  <c r="P45" i="32"/>
  <c r="P50" i="6"/>
  <c r="P51" i="14"/>
  <c r="P50" i="14"/>
  <c r="P50" i="13"/>
  <c r="P52" i="12"/>
  <c r="P51" i="12"/>
  <c r="P50" i="12"/>
  <c r="P49" i="12"/>
  <c r="P48" i="12"/>
  <c r="P47" i="12"/>
  <c r="P46" i="12"/>
  <c r="P45" i="12"/>
  <c r="P51" i="10"/>
  <c r="P50" i="5"/>
  <c r="P50" i="31"/>
  <c r="P50" i="17"/>
  <c r="O50" i="3"/>
  <c r="N50" i="3"/>
  <c r="M50" i="3"/>
  <c r="L50" i="3"/>
  <c r="K50" i="3"/>
  <c r="J50" i="3"/>
  <c r="I50" i="3"/>
  <c r="H50" i="3"/>
  <c r="G50" i="3"/>
  <c r="F50" i="3"/>
  <c r="E50" i="3"/>
  <c r="D50" i="3"/>
  <c r="P50" i="23"/>
  <c r="P50" i="25"/>
  <c r="P50" i="16"/>
  <c r="J50" i="1" s="1"/>
  <c r="O50" i="7"/>
  <c r="N50" i="7"/>
  <c r="M50" i="7"/>
  <c r="L50" i="7"/>
  <c r="K50" i="7"/>
  <c r="J50" i="7"/>
  <c r="I50" i="7"/>
  <c r="H50" i="7"/>
  <c r="G50" i="7"/>
  <c r="F50" i="7"/>
  <c r="E50" i="7"/>
  <c r="D50" i="7"/>
  <c r="O52" i="2"/>
  <c r="N52" i="2"/>
  <c r="M52" i="2"/>
  <c r="L52" i="2"/>
  <c r="K52" i="2"/>
  <c r="J52" i="2"/>
  <c r="I52" i="2"/>
  <c r="H52" i="2"/>
  <c r="G52" i="2"/>
  <c r="F52" i="2"/>
  <c r="E52" i="2"/>
  <c r="D52" i="2"/>
  <c r="O51" i="2"/>
  <c r="N51" i="2"/>
  <c r="M51" i="2"/>
  <c r="L51" i="2"/>
  <c r="K51" i="2"/>
  <c r="J51" i="2"/>
  <c r="I51" i="2"/>
  <c r="H51" i="2"/>
  <c r="G51" i="2"/>
  <c r="F51" i="2"/>
  <c r="E51" i="2"/>
  <c r="D51" i="2"/>
  <c r="O50" i="2"/>
  <c r="N50" i="2"/>
  <c r="M50" i="2"/>
  <c r="L50" i="2"/>
  <c r="L50" i="4" s="1"/>
  <c r="K50" i="2"/>
  <c r="J50" i="2"/>
  <c r="I50" i="2"/>
  <c r="H50" i="2"/>
  <c r="H50" i="4" s="1"/>
  <c r="G50" i="2"/>
  <c r="F50" i="2"/>
  <c r="E50" i="2"/>
  <c r="D50" i="2"/>
  <c r="O49" i="2"/>
  <c r="N49" i="2"/>
  <c r="M49" i="2"/>
  <c r="L49" i="2"/>
  <c r="K49" i="2"/>
  <c r="J49" i="2"/>
  <c r="I49" i="2"/>
  <c r="H49" i="2"/>
  <c r="G49" i="2"/>
  <c r="F49" i="2"/>
  <c r="E49" i="2"/>
  <c r="D49" i="2"/>
  <c r="O48" i="2"/>
  <c r="N48" i="2"/>
  <c r="M48" i="2"/>
  <c r="L48" i="2"/>
  <c r="K48" i="2"/>
  <c r="J48" i="2"/>
  <c r="I48" i="2"/>
  <c r="H48" i="2"/>
  <c r="G48" i="2"/>
  <c r="F48" i="2"/>
  <c r="E48" i="2"/>
  <c r="D48" i="2"/>
  <c r="O47" i="2"/>
  <c r="N47" i="2"/>
  <c r="M47" i="2"/>
  <c r="L47" i="2"/>
  <c r="K47" i="2"/>
  <c r="J47" i="2"/>
  <c r="I47" i="2"/>
  <c r="H47" i="2"/>
  <c r="G47" i="2"/>
  <c r="F47" i="2"/>
  <c r="E47" i="2"/>
  <c r="D47" i="2"/>
  <c r="O46" i="2"/>
  <c r="N46" i="2"/>
  <c r="M46" i="2"/>
  <c r="L46" i="2"/>
  <c r="K46" i="2"/>
  <c r="J46" i="2"/>
  <c r="I46" i="2"/>
  <c r="H46" i="2"/>
  <c r="G46" i="2"/>
  <c r="F46" i="2"/>
  <c r="E46" i="2"/>
  <c r="D46" i="2"/>
  <c r="O45" i="2"/>
  <c r="N45" i="2"/>
  <c r="M45" i="2"/>
  <c r="L45" i="2"/>
  <c r="K45" i="2"/>
  <c r="J45" i="2"/>
  <c r="I45" i="2"/>
  <c r="H45" i="2"/>
  <c r="G45" i="2"/>
  <c r="F45" i="2"/>
  <c r="E45" i="2"/>
  <c r="D45" i="2"/>
  <c r="G50" i="4" l="1"/>
  <c r="K50" i="4"/>
  <c r="O50" i="4"/>
  <c r="M50" i="4"/>
  <c r="E50" i="4"/>
  <c r="I50" i="4"/>
  <c r="F50" i="4"/>
  <c r="J50" i="4"/>
  <c r="N50" i="4"/>
  <c r="P50" i="3"/>
  <c r="L50" i="1" s="1"/>
  <c r="P52" i="11"/>
  <c r="P50" i="11"/>
  <c r="H50" i="1" s="1"/>
  <c r="P50" i="7"/>
  <c r="G50" i="1" s="1"/>
  <c r="P48" i="2"/>
  <c r="P49" i="2"/>
  <c r="P51" i="2"/>
  <c r="P46" i="2"/>
  <c r="P47" i="2"/>
  <c r="P50" i="2"/>
  <c r="F50" i="1" s="1"/>
  <c r="P52" i="2"/>
  <c r="D50" i="4"/>
  <c r="P45" i="2"/>
  <c r="O7" i="31"/>
  <c r="N7" i="31"/>
  <c r="M7" i="31"/>
  <c r="L7" i="31"/>
  <c r="K7" i="31"/>
  <c r="J7" i="31"/>
  <c r="I7" i="31"/>
  <c r="H7" i="31"/>
  <c r="G7" i="31"/>
  <c r="F7" i="31"/>
  <c r="E7" i="31"/>
  <c r="D7" i="31"/>
  <c r="O7" i="18"/>
  <c r="O7" i="11" s="1"/>
  <c r="N7" i="18"/>
  <c r="N7" i="11" s="1"/>
  <c r="M7" i="18"/>
  <c r="M7" i="11" s="1"/>
  <c r="L7" i="18"/>
  <c r="L7" i="11" s="1"/>
  <c r="K7" i="18"/>
  <c r="K7" i="11" s="1"/>
  <c r="J7" i="18"/>
  <c r="J7" i="11" s="1"/>
  <c r="I7" i="18"/>
  <c r="I7" i="11" s="1"/>
  <c r="H7" i="18"/>
  <c r="H7" i="11" s="1"/>
  <c r="G7" i="18"/>
  <c r="G7" i="11" s="1"/>
  <c r="F7" i="18"/>
  <c r="F7" i="11" s="1"/>
  <c r="E7" i="18"/>
  <c r="E7" i="11" s="1"/>
  <c r="D7" i="18"/>
  <c r="O7" i="32"/>
  <c r="N7" i="32"/>
  <c r="M7" i="32"/>
  <c r="L7" i="32"/>
  <c r="K7" i="32"/>
  <c r="J7" i="32"/>
  <c r="I7" i="32"/>
  <c r="H7" i="32"/>
  <c r="G7" i="32"/>
  <c r="F7" i="32"/>
  <c r="E7" i="32"/>
  <c r="D7" i="32"/>
  <c r="O7" i="28"/>
  <c r="N7" i="28"/>
  <c r="M7" i="28"/>
  <c r="L7" i="28"/>
  <c r="K7" i="28"/>
  <c r="J7" i="28"/>
  <c r="I7" i="28"/>
  <c r="H7" i="28"/>
  <c r="G7" i="28"/>
  <c r="F7" i="28"/>
  <c r="E7" i="28"/>
  <c r="D7" i="28"/>
  <c r="O7" i="8"/>
  <c r="N7" i="8"/>
  <c r="M7" i="8"/>
  <c r="L7" i="8"/>
  <c r="K7" i="8"/>
  <c r="J7" i="8"/>
  <c r="I7" i="8"/>
  <c r="H7" i="8"/>
  <c r="G7" i="8"/>
  <c r="F7" i="8"/>
  <c r="E7" i="8"/>
  <c r="D7" i="8"/>
  <c r="N7" i="9"/>
  <c r="L7" i="9"/>
  <c r="I7" i="9"/>
  <c r="G7" i="9"/>
  <c r="E7" i="9"/>
  <c r="O7" i="9"/>
  <c r="M7" i="9"/>
  <c r="K7" i="9"/>
  <c r="J7" i="9"/>
  <c r="H7" i="9"/>
  <c r="F7" i="9"/>
  <c r="D7" i="9"/>
  <c r="D7" i="11" l="1"/>
  <c r="P7" i="11" s="1"/>
  <c r="P7" i="18"/>
  <c r="P7" i="28"/>
  <c r="P50" i="4"/>
  <c r="M50" i="1"/>
  <c r="O105" i="32"/>
  <c r="N105" i="32"/>
  <c r="M105" i="32"/>
  <c r="L105" i="32"/>
  <c r="K105" i="32"/>
  <c r="J105" i="32"/>
  <c r="I105" i="32"/>
  <c r="H105" i="32"/>
  <c r="G105" i="32"/>
  <c r="F105" i="32"/>
  <c r="E105" i="32"/>
  <c r="D105" i="32"/>
  <c r="P104" i="32"/>
  <c r="P103" i="32"/>
  <c r="P102" i="32"/>
  <c r="P101" i="32"/>
  <c r="P100" i="32"/>
  <c r="P99" i="32"/>
  <c r="P98" i="32"/>
  <c r="P97" i="32"/>
  <c r="P96" i="32"/>
  <c r="P95" i="32"/>
  <c r="P94" i="32"/>
  <c r="P93" i="32"/>
  <c r="P92" i="32"/>
  <c r="P91" i="32"/>
  <c r="P90" i="32"/>
  <c r="P89" i="32"/>
  <c r="P88" i="32"/>
  <c r="P87" i="32"/>
  <c r="P86" i="32"/>
  <c r="O84" i="32"/>
  <c r="N84" i="32"/>
  <c r="M84" i="32"/>
  <c r="L84" i="32"/>
  <c r="K84" i="32"/>
  <c r="J84" i="32"/>
  <c r="I84" i="32"/>
  <c r="H84" i="32"/>
  <c r="G84" i="32"/>
  <c r="F84" i="32"/>
  <c r="E84" i="32"/>
  <c r="D84" i="32"/>
  <c r="P83" i="32"/>
  <c r="P82" i="32"/>
  <c r="P81" i="32"/>
  <c r="P80" i="32"/>
  <c r="P79" i="32"/>
  <c r="P78" i="32"/>
  <c r="P77" i="32"/>
  <c r="P76" i="32"/>
  <c r="P75" i="32"/>
  <c r="Q75" i="32" s="1"/>
  <c r="P74" i="32"/>
  <c r="P73" i="32"/>
  <c r="P72" i="32"/>
  <c r="P71" i="32"/>
  <c r="P70" i="32"/>
  <c r="P69" i="32"/>
  <c r="P68" i="32"/>
  <c r="P67" i="32"/>
  <c r="P66" i="32"/>
  <c r="Q66" i="32" s="1"/>
  <c r="Q65" i="32"/>
  <c r="P65" i="32"/>
  <c r="P64" i="32"/>
  <c r="Q63" i="32"/>
  <c r="P63" i="32"/>
  <c r="P62" i="32"/>
  <c r="P61" i="32"/>
  <c r="P60" i="32"/>
  <c r="P59" i="32"/>
  <c r="P58" i="32"/>
  <c r="Q58" i="32" s="1"/>
  <c r="P57" i="32"/>
  <c r="Q56" i="32"/>
  <c r="P56" i="32"/>
  <c r="P55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P53" i="32"/>
  <c r="Q53" i="32" s="1"/>
  <c r="P42" i="32"/>
  <c r="P31" i="32"/>
  <c r="P30" i="32"/>
  <c r="P29" i="32"/>
  <c r="P28" i="32"/>
  <c r="O26" i="32"/>
  <c r="N26" i="32"/>
  <c r="M26" i="32"/>
  <c r="L26" i="32"/>
  <c r="K26" i="32"/>
  <c r="J26" i="32"/>
  <c r="I26" i="32"/>
  <c r="H26" i="32"/>
  <c r="G26" i="32"/>
  <c r="F26" i="32"/>
  <c r="E26" i="32"/>
  <c r="D26" i="32"/>
  <c r="P25" i="32"/>
  <c r="P24" i="32"/>
  <c r="P23" i="32"/>
  <c r="P22" i="32"/>
  <c r="P21" i="32"/>
  <c r="P20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P17" i="32"/>
  <c r="P16" i="32"/>
  <c r="P15" i="32"/>
  <c r="P14" i="32"/>
  <c r="P11" i="32"/>
  <c r="P7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O105" i="28"/>
  <c r="N105" i="28"/>
  <c r="M105" i="28"/>
  <c r="L105" i="28"/>
  <c r="K105" i="28"/>
  <c r="J105" i="28"/>
  <c r="I105" i="28"/>
  <c r="H105" i="28"/>
  <c r="G105" i="28"/>
  <c r="F105" i="28"/>
  <c r="E105" i="28"/>
  <c r="D105" i="28"/>
  <c r="P104" i="28"/>
  <c r="P103" i="28"/>
  <c r="P102" i="28"/>
  <c r="P101" i="28"/>
  <c r="P100" i="28"/>
  <c r="P99" i="28"/>
  <c r="P98" i="28"/>
  <c r="P97" i="28"/>
  <c r="P96" i="28"/>
  <c r="P95" i="28"/>
  <c r="P94" i="28"/>
  <c r="P93" i="28"/>
  <c r="P92" i="28"/>
  <c r="P91" i="28"/>
  <c r="P90" i="28"/>
  <c r="P89" i="28"/>
  <c r="P88" i="28"/>
  <c r="P87" i="28"/>
  <c r="P86" i="28"/>
  <c r="O84" i="28"/>
  <c r="N84" i="28"/>
  <c r="M84" i="28"/>
  <c r="L84" i="28"/>
  <c r="K84" i="28"/>
  <c r="J84" i="28"/>
  <c r="I84" i="28"/>
  <c r="H84" i="28"/>
  <c r="G84" i="28"/>
  <c r="F84" i="28"/>
  <c r="E84" i="28"/>
  <c r="D84" i="28"/>
  <c r="P83" i="28"/>
  <c r="P82" i="28"/>
  <c r="P81" i="28"/>
  <c r="P80" i="28"/>
  <c r="P79" i="28"/>
  <c r="P78" i="28"/>
  <c r="P77" i="28"/>
  <c r="P76" i="28"/>
  <c r="P74" i="28"/>
  <c r="P73" i="28"/>
  <c r="P72" i="28"/>
  <c r="P71" i="28"/>
  <c r="P70" i="28"/>
  <c r="P69" i="28"/>
  <c r="P68" i="28"/>
  <c r="P67" i="28"/>
  <c r="P66" i="28"/>
  <c r="P65" i="28"/>
  <c r="P64" i="28"/>
  <c r="P63" i="28"/>
  <c r="P62" i="28"/>
  <c r="P61" i="28"/>
  <c r="P60" i="28"/>
  <c r="P59" i="28"/>
  <c r="P58" i="28"/>
  <c r="P57" i="28"/>
  <c r="P56" i="28"/>
  <c r="P55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P52" i="28"/>
  <c r="P53" i="28"/>
  <c r="P42" i="28"/>
  <c r="P31" i="28"/>
  <c r="P30" i="28"/>
  <c r="P29" i="28"/>
  <c r="P28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P25" i="28"/>
  <c r="P24" i="28"/>
  <c r="P23" i="28"/>
  <c r="P22" i="28"/>
  <c r="P21" i="28"/>
  <c r="P20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P17" i="28"/>
  <c r="P16" i="28"/>
  <c r="P15" i="28"/>
  <c r="P14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L32" i="28" l="1"/>
  <c r="H32" i="28"/>
  <c r="P105" i="32"/>
  <c r="P105" i="28"/>
  <c r="Q105" i="28" s="1"/>
  <c r="P84" i="32"/>
  <c r="Q84" i="32" s="1"/>
  <c r="D32" i="28"/>
  <c r="P84" i="28"/>
  <c r="Q84" i="28" s="1"/>
  <c r="N32" i="32"/>
  <c r="J32" i="32"/>
  <c r="F32" i="32"/>
  <c r="P18" i="32"/>
  <c r="Q18" i="32" s="1"/>
  <c r="M32" i="28"/>
  <c r="E32" i="28"/>
  <c r="I32" i="28"/>
  <c r="P26" i="32"/>
  <c r="Q26" i="32" s="1"/>
  <c r="P37" i="32"/>
  <c r="P37" i="28"/>
  <c r="P26" i="28"/>
  <c r="Q26" i="28" s="1"/>
  <c r="G32" i="32"/>
  <c r="K32" i="32"/>
  <c r="O32" i="32"/>
  <c r="D32" i="32"/>
  <c r="H32" i="32"/>
  <c r="L32" i="32"/>
  <c r="E32" i="32"/>
  <c r="I32" i="32"/>
  <c r="M32" i="32"/>
  <c r="F32" i="28"/>
  <c r="N32" i="28"/>
  <c r="G32" i="28"/>
  <c r="K32" i="28"/>
  <c r="O32" i="28"/>
  <c r="P18" i="28"/>
  <c r="Q18" i="28" s="1"/>
  <c r="J32" i="28"/>
  <c r="Q105" i="32"/>
  <c r="P6" i="32"/>
  <c r="P12" i="32" s="1"/>
  <c r="P6" i="28"/>
  <c r="P12" i="28" s="1"/>
  <c r="O104" i="2"/>
  <c r="N104" i="2"/>
  <c r="M104" i="2"/>
  <c r="L104" i="2"/>
  <c r="K104" i="2"/>
  <c r="J104" i="2"/>
  <c r="I104" i="2"/>
  <c r="H104" i="2"/>
  <c r="G104" i="2"/>
  <c r="F104" i="2"/>
  <c r="E104" i="2"/>
  <c r="D104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O99" i="2"/>
  <c r="N99" i="2"/>
  <c r="M99" i="2"/>
  <c r="L99" i="2"/>
  <c r="K99" i="2"/>
  <c r="J99" i="2"/>
  <c r="I99" i="2"/>
  <c r="H99" i="2"/>
  <c r="G99" i="2"/>
  <c r="F99" i="2"/>
  <c r="E99" i="2"/>
  <c r="D99" i="2"/>
  <c r="O98" i="2"/>
  <c r="N98" i="2"/>
  <c r="M98" i="2"/>
  <c r="L98" i="2"/>
  <c r="K98" i="2"/>
  <c r="J98" i="2"/>
  <c r="I98" i="2"/>
  <c r="H98" i="2"/>
  <c r="G98" i="2"/>
  <c r="F98" i="2"/>
  <c r="E98" i="2"/>
  <c r="D98" i="2"/>
  <c r="O97" i="2"/>
  <c r="N97" i="2"/>
  <c r="M97" i="2"/>
  <c r="L97" i="2"/>
  <c r="K97" i="2"/>
  <c r="J97" i="2"/>
  <c r="I97" i="2"/>
  <c r="H97" i="2"/>
  <c r="G97" i="2"/>
  <c r="F97" i="2"/>
  <c r="E97" i="2"/>
  <c r="D97" i="2"/>
  <c r="O96" i="2"/>
  <c r="N96" i="2"/>
  <c r="M96" i="2"/>
  <c r="L96" i="2"/>
  <c r="K96" i="2"/>
  <c r="J96" i="2"/>
  <c r="I96" i="2"/>
  <c r="H96" i="2"/>
  <c r="G96" i="2"/>
  <c r="F96" i="2"/>
  <c r="E96" i="2"/>
  <c r="D96" i="2"/>
  <c r="O95" i="2"/>
  <c r="N95" i="2"/>
  <c r="M95" i="2"/>
  <c r="L95" i="2"/>
  <c r="K95" i="2"/>
  <c r="J95" i="2"/>
  <c r="I95" i="2"/>
  <c r="H95" i="2"/>
  <c r="G95" i="2"/>
  <c r="F95" i="2"/>
  <c r="E95" i="2"/>
  <c r="D95" i="2"/>
  <c r="O94" i="2"/>
  <c r="N94" i="2"/>
  <c r="M94" i="2"/>
  <c r="L94" i="2"/>
  <c r="K94" i="2"/>
  <c r="J94" i="2"/>
  <c r="I94" i="2"/>
  <c r="H94" i="2"/>
  <c r="G94" i="2"/>
  <c r="F94" i="2"/>
  <c r="E94" i="2"/>
  <c r="D94" i="2"/>
  <c r="O93" i="2"/>
  <c r="N93" i="2"/>
  <c r="M93" i="2"/>
  <c r="L93" i="2"/>
  <c r="K93" i="2"/>
  <c r="J93" i="2"/>
  <c r="I93" i="2"/>
  <c r="H93" i="2"/>
  <c r="G93" i="2"/>
  <c r="F93" i="2"/>
  <c r="E93" i="2"/>
  <c r="D93" i="2"/>
  <c r="O92" i="2"/>
  <c r="N92" i="2"/>
  <c r="M92" i="2"/>
  <c r="L92" i="2"/>
  <c r="K92" i="2"/>
  <c r="J92" i="2"/>
  <c r="I92" i="2"/>
  <c r="H92" i="2"/>
  <c r="G92" i="2"/>
  <c r="F92" i="2"/>
  <c r="E92" i="2"/>
  <c r="D92" i="2"/>
  <c r="O91" i="2"/>
  <c r="N91" i="2"/>
  <c r="M91" i="2"/>
  <c r="L91" i="2"/>
  <c r="K91" i="2"/>
  <c r="J91" i="2"/>
  <c r="I91" i="2"/>
  <c r="H91" i="2"/>
  <c r="G91" i="2"/>
  <c r="F91" i="2"/>
  <c r="E91" i="2"/>
  <c r="D91" i="2"/>
  <c r="O90" i="2"/>
  <c r="N90" i="2"/>
  <c r="M90" i="2"/>
  <c r="L90" i="2"/>
  <c r="K90" i="2"/>
  <c r="J90" i="2"/>
  <c r="I90" i="2"/>
  <c r="H90" i="2"/>
  <c r="G90" i="2"/>
  <c r="F90" i="2"/>
  <c r="E90" i="2"/>
  <c r="D90" i="2"/>
  <c r="O89" i="2"/>
  <c r="N89" i="2"/>
  <c r="M89" i="2"/>
  <c r="L89" i="2"/>
  <c r="K89" i="2"/>
  <c r="J89" i="2"/>
  <c r="I89" i="2"/>
  <c r="H89" i="2"/>
  <c r="G89" i="2"/>
  <c r="F89" i="2"/>
  <c r="E89" i="2"/>
  <c r="D89" i="2"/>
  <c r="O88" i="2"/>
  <c r="N88" i="2"/>
  <c r="M88" i="2"/>
  <c r="L88" i="2"/>
  <c r="K88" i="2"/>
  <c r="J88" i="2"/>
  <c r="I88" i="2"/>
  <c r="H88" i="2"/>
  <c r="G88" i="2"/>
  <c r="F88" i="2"/>
  <c r="E88" i="2"/>
  <c r="D88" i="2"/>
  <c r="O87" i="2"/>
  <c r="N87" i="2"/>
  <c r="M87" i="2"/>
  <c r="L87" i="2"/>
  <c r="K87" i="2"/>
  <c r="J87" i="2"/>
  <c r="I87" i="2"/>
  <c r="H87" i="2"/>
  <c r="G87" i="2"/>
  <c r="F87" i="2"/>
  <c r="E87" i="2"/>
  <c r="D87" i="2"/>
  <c r="O86" i="2"/>
  <c r="N86" i="2"/>
  <c r="M86" i="2"/>
  <c r="L86" i="2"/>
  <c r="K86" i="2"/>
  <c r="J86" i="2"/>
  <c r="I86" i="2"/>
  <c r="H86" i="2"/>
  <c r="G86" i="2"/>
  <c r="F86" i="2"/>
  <c r="E86" i="2"/>
  <c r="D86" i="2"/>
  <c r="O83" i="2"/>
  <c r="N83" i="2"/>
  <c r="M83" i="2"/>
  <c r="L83" i="2"/>
  <c r="K83" i="2"/>
  <c r="J83" i="2"/>
  <c r="I83" i="2"/>
  <c r="H83" i="2"/>
  <c r="G83" i="2"/>
  <c r="F83" i="2"/>
  <c r="E83" i="2"/>
  <c r="D83" i="2"/>
  <c r="O82" i="2"/>
  <c r="N82" i="2"/>
  <c r="M82" i="2"/>
  <c r="L82" i="2"/>
  <c r="K82" i="2"/>
  <c r="J82" i="2"/>
  <c r="I82" i="2"/>
  <c r="H82" i="2"/>
  <c r="G82" i="2"/>
  <c r="F82" i="2"/>
  <c r="E82" i="2"/>
  <c r="D82" i="2"/>
  <c r="O81" i="2"/>
  <c r="N81" i="2"/>
  <c r="M81" i="2"/>
  <c r="L81" i="2"/>
  <c r="K81" i="2"/>
  <c r="J81" i="2"/>
  <c r="I81" i="2"/>
  <c r="H81" i="2"/>
  <c r="G81" i="2"/>
  <c r="F81" i="2"/>
  <c r="E81" i="2"/>
  <c r="D81" i="2"/>
  <c r="O80" i="2"/>
  <c r="N80" i="2"/>
  <c r="M80" i="2"/>
  <c r="L80" i="2"/>
  <c r="K80" i="2"/>
  <c r="J80" i="2"/>
  <c r="I80" i="2"/>
  <c r="H80" i="2"/>
  <c r="G80" i="2"/>
  <c r="F80" i="2"/>
  <c r="E80" i="2"/>
  <c r="D80" i="2"/>
  <c r="O79" i="2"/>
  <c r="N79" i="2"/>
  <c r="M79" i="2"/>
  <c r="L79" i="2"/>
  <c r="K79" i="2"/>
  <c r="J79" i="2"/>
  <c r="I79" i="2"/>
  <c r="H79" i="2"/>
  <c r="G79" i="2"/>
  <c r="F79" i="2"/>
  <c r="E79" i="2"/>
  <c r="D79" i="2"/>
  <c r="O78" i="2"/>
  <c r="N78" i="2"/>
  <c r="M78" i="2"/>
  <c r="L78" i="2"/>
  <c r="K78" i="2"/>
  <c r="J78" i="2"/>
  <c r="I78" i="2"/>
  <c r="H78" i="2"/>
  <c r="G78" i="2"/>
  <c r="F78" i="2"/>
  <c r="E78" i="2"/>
  <c r="D78" i="2"/>
  <c r="O77" i="2"/>
  <c r="N77" i="2"/>
  <c r="M77" i="2"/>
  <c r="L77" i="2"/>
  <c r="K77" i="2"/>
  <c r="J77" i="2"/>
  <c r="I77" i="2"/>
  <c r="H77" i="2"/>
  <c r="G77" i="2"/>
  <c r="F77" i="2"/>
  <c r="E77" i="2"/>
  <c r="D77" i="2"/>
  <c r="O76" i="2"/>
  <c r="N76" i="2"/>
  <c r="M76" i="2"/>
  <c r="L76" i="2"/>
  <c r="K76" i="2"/>
  <c r="J76" i="2"/>
  <c r="I76" i="2"/>
  <c r="H76" i="2"/>
  <c r="G76" i="2"/>
  <c r="F76" i="2"/>
  <c r="E76" i="2"/>
  <c r="O75" i="2"/>
  <c r="O74" i="2"/>
  <c r="N74" i="2"/>
  <c r="M74" i="2"/>
  <c r="L74" i="2"/>
  <c r="K74" i="2"/>
  <c r="J74" i="2"/>
  <c r="I74" i="2"/>
  <c r="H74" i="2"/>
  <c r="G74" i="2"/>
  <c r="F74" i="2"/>
  <c r="E74" i="2"/>
  <c r="D74" i="2"/>
  <c r="O73" i="2"/>
  <c r="N73" i="2"/>
  <c r="M73" i="2"/>
  <c r="L73" i="2"/>
  <c r="K73" i="2"/>
  <c r="J73" i="2"/>
  <c r="I73" i="2"/>
  <c r="H73" i="2"/>
  <c r="G73" i="2"/>
  <c r="F73" i="2"/>
  <c r="E73" i="2"/>
  <c r="D73" i="2"/>
  <c r="O72" i="2"/>
  <c r="N72" i="2"/>
  <c r="M72" i="2"/>
  <c r="L72" i="2"/>
  <c r="K72" i="2"/>
  <c r="J72" i="2"/>
  <c r="I72" i="2"/>
  <c r="H72" i="2"/>
  <c r="G72" i="2"/>
  <c r="F72" i="2"/>
  <c r="E72" i="2"/>
  <c r="D72" i="2"/>
  <c r="O71" i="2"/>
  <c r="N71" i="2"/>
  <c r="M71" i="2"/>
  <c r="L71" i="2"/>
  <c r="K71" i="2"/>
  <c r="J71" i="2"/>
  <c r="I71" i="2"/>
  <c r="H71" i="2"/>
  <c r="G71" i="2"/>
  <c r="F71" i="2"/>
  <c r="E71" i="2"/>
  <c r="D71" i="2"/>
  <c r="O70" i="2"/>
  <c r="N70" i="2"/>
  <c r="M70" i="2"/>
  <c r="L70" i="2"/>
  <c r="K70" i="2"/>
  <c r="J70" i="2"/>
  <c r="I70" i="2"/>
  <c r="H70" i="2"/>
  <c r="G70" i="2"/>
  <c r="F70" i="2"/>
  <c r="E70" i="2"/>
  <c r="D70" i="2"/>
  <c r="O69" i="2"/>
  <c r="N69" i="2"/>
  <c r="M69" i="2"/>
  <c r="L69" i="2"/>
  <c r="K69" i="2"/>
  <c r="J69" i="2"/>
  <c r="I69" i="2"/>
  <c r="H69" i="2"/>
  <c r="G69" i="2"/>
  <c r="F69" i="2"/>
  <c r="E69" i="2"/>
  <c r="D69" i="2"/>
  <c r="O68" i="2"/>
  <c r="N68" i="2"/>
  <c r="M68" i="2"/>
  <c r="L68" i="2"/>
  <c r="K68" i="2"/>
  <c r="J68" i="2"/>
  <c r="I68" i="2"/>
  <c r="H68" i="2"/>
  <c r="G68" i="2"/>
  <c r="F68" i="2"/>
  <c r="E68" i="2"/>
  <c r="D68" i="2"/>
  <c r="O67" i="2"/>
  <c r="N67" i="2"/>
  <c r="M67" i="2"/>
  <c r="L67" i="2"/>
  <c r="K67" i="2"/>
  <c r="J67" i="2"/>
  <c r="I67" i="2"/>
  <c r="H67" i="2"/>
  <c r="G67" i="2"/>
  <c r="F67" i="2"/>
  <c r="E67" i="2"/>
  <c r="D67" i="2"/>
  <c r="O66" i="2"/>
  <c r="N66" i="2"/>
  <c r="M66" i="2"/>
  <c r="L66" i="2"/>
  <c r="K66" i="2"/>
  <c r="J66" i="2"/>
  <c r="I66" i="2"/>
  <c r="H66" i="2"/>
  <c r="G66" i="2"/>
  <c r="F66" i="2"/>
  <c r="E66" i="2"/>
  <c r="D66" i="2"/>
  <c r="O65" i="2"/>
  <c r="N65" i="2"/>
  <c r="M65" i="2"/>
  <c r="L65" i="2"/>
  <c r="K65" i="2"/>
  <c r="J65" i="2"/>
  <c r="I65" i="2"/>
  <c r="H65" i="2"/>
  <c r="G65" i="2"/>
  <c r="F65" i="2"/>
  <c r="E65" i="2"/>
  <c r="D65" i="2"/>
  <c r="O64" i="2"/>
  <c r="N64" i="2"/>
  <c r="M64" i="2"/>
  <c r="L64" i="2"/>
  <c r="K64" i="2"/>
  <c r="J64" i="2"/>
  <c r="I64" i="2"/>
  <c r="H64" i="2"/>
  <c r="G64" i="2"/>
  <c r="F64" i="2"/>
  <c r="E64" i="2"/>
  <c r="D64" i="2"/>
  <c r="O63" i="2"/>
  <c r="N63" i="2"/>
  <c r="M63" i="2"/>
  <c r="L63" i="2"/>
  <c r="K63" i="2"/>
  <c r="J63" i="2"/>
  <c r="I63" i="2"/>
  <c r="H63" i="2"/>
  <c r="G63" i="2"/>
  <c r="F63" i="2"/>
  <c r="E63" i="2"/>
  <c r="D63" i="2"/>
  <c r="O62" i="2"/>
  <c r="N62" i="2"/>
  <c r="M62" i="2"/>
  <c r="L62" i="2"/>
  <c r="K62" i="2"/>
  <c r="J62" i="2"/>
  <c r="I62" i="2"/>
  <c r="H62" i="2"/>
  <c r="G62" i="2"/>
  <c r="F62" i="2"/>
  <c r="E62" i="2"/>
  <c r="D62" i="2"/>
  <c r="O61" i="2"/>
  <c r="N61" i="2"/>
  <c r="M61" i="2"/>
  <c r="L61" i="2"/>
  <c r="K61" i="2"/>
  <c r="J61" i="2"/>
  <c r="I61" i="2"/>
  <c r="H61" i="2"/>
  <c r="G61" i="2"/>
  <c r="F61" i="2"/>
  <c r="E61" i="2"/>
  <c r="D61" i="2"/>
  <c r="O60" i="2"/>
  <c r="N60" i="2"/>
  <c r="M60" i="2"/>
  <c r="L60" i="2"/>
  <c r="K60" i="2"/>
  <c r="J60" i="2"/>
  <c r="I60" i="2"/>
  <c r="H60" i="2"/>
  <c r="G60" i="2"/>
  <c r="F60" i="2"/>
  <c r="E60" i="2"/>
  <c r="D60" i="2"/>
  <c r="O59" i="2"/>
  <c r="N59" i="2"/>
  <c r="M59" i="2"/>
  <c r="L59" i="2"/>
  <c r="K59" i="2"/>
  <c r="J59" i="2"/>
  <c r="I59" i="2"/>
  <c r="H59" i="2"/>
  <c r="G59" i="2"/>
  <c r="F59" i="2"/>
  <c r="E59" i="2"/>
  <c r="D59" i="2"/>
  <c r="O58" i="2"/>
  <c r="N58" i="2"/>
  <c r="M58" i="2"/>
  <c r="L58" i="2"/>
  <c r="K58" i="2"/>
  <c r="J58" i="2"/>
  <c r="I58" i="2"/>
  <c r="H58" i="2"/>
  <c r="G58" i="2"/>
  <c r="F58" i="2"/>
  <c r="E58" i="2"/>
  <c r="D58" i="2"/>
  <c r="O57" i="2"/>
  <c r="N57" i="2"/>
  <c r="M57" i="2"/>
  <c r="L57" i="2"/>
  <c r="K57" i="2"/>
  <c r="J57" i="2"/>
  <c r="I57" i="2"/>
  <c r="H57" i="2"/>
  <c r="G57" i="2"/>
  <c r="F57" i="2"/>
  <c r="E57" i="2"/>
  <c r="D57" i="2"/>
  <c r="O56" i="2"/>
  <c r="N56" i="2"/>
  <c r="M56" i="2"/>
  <c r="L56" i="2"/>
  <c r="K56" i="2"/>
  <c r="J56" i="2"/>
  <c r="I56" i="2"/>
  <c r="H56" i="2"/>
  <c r="G56" i="2"/>
  <c r="F56" i="2"/>
  <c r="E56" i="2"/>
  <c r="D56" i="2"/>
  <c r="O55" i="2"/>
  <c r="N55" i="2"/>
  <c r="M55" i="2"/>
  <c r="L55" i="2"/>
  <c r="K55" i="2"/>
  <c r="J55" i="2"/>
  <c r="I55" i="2"/>
  <c r="H55" i="2"/>
  <c r="G55" i="2"/>
  <c r="F55" i="2"/>
  <c r="E55" i="2"/>
  <c r="D55" i="2"/>
  <c r="O42" i="2"/>
  <c r="N42" i="2"/>
  <c r="M42" i="2"/>
  <c r="L42" i="2"/>
  <c r="K42" i="2"/>
  <c r="J42" i="2"/>
  <c r="I42" i="2"/>
  <c r="H42" i="2"/>
  <c r="G42" i="2"/>
  <c r="F42" i="2"/>
  <c r="E42" i="2"/>
  <c r="D42" i="2"/>
  <c r="O17" i="2"/>
  <c r="N17" i="2"/>
  <c r="M17" i="2"/>
  <c r="L17" i="2"/>
  <c r="K17" i="2"/>
  <c r="J17" i="2"/>
  <c r="I17" i="2"/>
  <c r="H17" i="2"/>
  <c r="G17" i="2"/>
  <c r="F17" i="2"/>
  <c r="E17" i="2"/>
  <c r="D17" i="2"/>
  <c r="O16" i="2"/>
  <c r="N16" i="2"/>
  <c r="M16" i="2"/>
  <c r="L16" i="2"/>
  <c r="K16" i="2"/>
  <c r="J16" i="2"/>
  <c r="I16" i="2"/>
  <c r="H16" i="2"/>
  <c r="G16" i="2"/>
  <c r="F16" i="2"/>
  <c r="E16" i="2"/>
  <c r="D16" i="2"/>
  <c r="O15" i="2"/>
  <c r="N15" i="2"/>
  <c r="M15" i="2"/>
  <c r="L15" i="2"/>
  <c r="K15" i="2"/>
  <c r="J15" i="2"/>
  <c r="I15" i="2"/>
  <c r="H15" i="2"/>
  <c r="G15" i="2"/>
  <c r="F15" i="2"/>
  <c r="E15" i="2"/>
  <c r="D15" i="2"/>
  <c r="O14" i="2"/>
  <c r="N14" i="2"/>
  <c r="M14" i="2"/>
  <c r="L14" i="2"/>
  <c r="K14" i="2"/>
  <c r="J14" i="2"/>
  <c r="I14" i="2"/>
  <c r="H14" i="2"/>
  <c r="G14" i="2"/>
  <c r="F14" i="2"/>
  <c r="E14" i="2"/>
  <c r="D14" i="2"/>
  <c r="O7" i="2"/>
  <c r="N7" i="2"/>
  <c r="M7" i="2"/>
  <c r="L7" i="2"/>
  <c r="K7" i="2"/>
  <c r="J7" i="2"/>
  <c r="I7" i="2"/>
  <c r="H7" i="2"/>
  <c r="G7" i="2"/>
  <c r="F7" i="2"/>
  <c r="E7" i="2"/>
  <c r="D7" i="2"/>
  <c r="D58" i="3"/>
  <c r="E58" i="3"/>
  <c r="F58" i="3"/>
  <c r="G58" i="3"/>
  <c r="H58" i="3"/>
  <c r="I58" i="3"/>
  <c r="J58" i="3"/>
  <c r="K58" i="3"/>
  <c r="L58" i="3"/>
  <c r="M58" i="3"/>
  <c r="N58" i="3"/>
  <c r="O58" i="3"/>
  <c r="O68" i="3"/>
  <c r="N68" i="3"/>
  <c r="M68" i="3"/>
  <c r="L68" i="3"/>
  <c r="K68" i="3"/>
  <c r="J68" i="3"/>
  <c r="I68" i="3"/>
  <c r="H68" i="3"/>
  <c r="G68" i="3"/>
  <c r="F68" i="3"/>
  <c r="E68" i="3"/>
  <c r="D68" i="3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5" i="9"/>
  <c r="E56" i="7"/>
  <c r="D56" i="7"/>
  <c r="P82" i="6"/>
  <c r="P81" i="6"/>
  <c r="P80" i="6"/>
  <c r="P79" i="6"/>
  <c r="P78" i="6"/>
  <c r="P77" i="6"/>
  <c r="P76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2" i="13"/>
  <c r="P51" i="13"/>
  <c r="P49" i="13"/>
  <c r="P47" i="13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P11" i="4"/>
  <c r="O105" i="31"/>
  <c r="N105" i="31"/>
  <c r="M105" i="31"/>
  <c r="L105" i="31"/>
  <c r="K105" i="31"/>
  <c r="J105" i="31"/>
  <c r="I105" i="31"/>
  <c r="H105" i="31"/>
  <c r="G105" i="31"/>
  <c r="F105" i="31"/>
  <c r="E105" i="31"/>
  <c r="D105" i="31"/>
  <c r="P104" i="31"/>
  <c r="P103" i="31"/>
  <c r="P102" i="31"/>
  <c r="P101" i="31"/>
  <c r="P100" i="31"/>
  <c r="P99" i="31"/>
  <c r="P98" i="31"/>
  <c r="P97" i="31"/>
  <c r="P96" i="31"/>
  <c r="P95" i="31"/>
  <c r="P94" i="31"/>
  <c r="P93" i="31"/>
  <c r="P92" i="31"/>
  <c r="P91" i="31"/>
  <c r="P90" i="31"/>
  <c r="P89" i="31"/>
  <c r="P88" i="31"/>
  <c r="P105" i="31" s="1"/>
  <c r="P87" i="31"/>
  <c r="P86" i="31"/>
  <c r="O84" i="31"/>
  <c r="N84" i="31"/>
  <c r="M84" i="31"/>
  <c r="L84" i="31"/>
  <c r="K84" i="31"/>
  <c r="J84" i="31"/>
  <c r="I84" i="31"/>
  <c r="H84" i="31"/>
  <c r="G84" i="31"/>
  <c r="F84" i="31"/>
  <c r="E84" i="31"/>
  <c r="D84" i="31"/>
  <c r="P83" i="31"/>
  <c r="P82" i="31"/>
  <c r="P81" i="31"/>
  <c r="P80" i="31"/>
  <c r="P79" i="31"/>
  <c r="P78" i="31"/>
  <c r="P77" i="31"/>
  <c r="P76" i="31"/>
  <c r="P75" i="31"/>
  <c r="P74" i="31"/>
  <c r="P73" i="31"/>
  <c r="P72" i="31"/>
  <c r="P71" i="31"/>
  <c r="P70" i="31"/>
  <c r="P69" i="31"/>
  <c r="P68" i="31"/>
  <c r="P67" i="31"/>
  <c r="P66" i="31"/>
  <c r="P65" i="31"/>
  <c r="P64" i="31"/>
  <c r="P63" i="31"/>
  <c r="P62" i="31"/>
  <c r="P61" i="31"/>
  <c r="P60" i="31"/>
  <c r="P59" i="31"/>
  <c r="P58" i="31"/>
  <c r="P57" i="31"/>
  <c r="P56" i="31"/>
  <c r="P55" i="31"/>
  <c r="O53" i="31"/>
  <c r="N53" i="31"/>
  <c r="M53" i="31"/>
  <c r="L53" i="31"/>
  <c r="K53" i="31"/>
  <c r="J53" i="31"/>
  <c r="I53" i="31"/>
  <c r="H53" i="31"/>
  <c r="G53" i="31"/>
  <c r="F53" i="31"/>
  <c r="E53" i="31"/>
  <c r="D53" i="31"/>
  <c r="P52" i="31"/>
  <c r="P51" i="31"/>
  <c r="P49" i="31"/>
  <c r="P48" i="31"/>
  <c r="P47" i="31"/>
  <c r="P46" i="31"/>
  <c r="P45" i="31"/>
  <c r="P42" i="31"/>
  <c r="P31" i="31"/>
  <c r="P30" i="31"/>
  <c r="P29" i="31"/>
  <c r="P28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P25" i="31"/>
  <c r="P24" i="31"/>
  <c r="P23" i="31"/>
  <c r="P22" i="31"/>
  <c r="P21" i="31"/>
  <c r="P20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P17" i="31"/>
  <c r="P16" i="31"/>
  <c r="P15" i="31"/>
  <c r="P14" i="31"/>
  <c r="O12" i="31"/>
  <c r="O32" i="31" s="1"/>
  <c r="N12" i="31"/>
  <c r="M12" i="31"/>
  <c r="M32" i="31" s="1"/>
  <c r="L12" i="31"/>
  <c r="K12" i="31"/>
  <c r="K32" i="31" s="1"/>
  <c r="J12" i="31"/>
  <c r="I12" i="31"/>
  <c r="I32" i="31" s="1"/>
  <c r="H12" i="31"/>
  <c r="G12" i="31"/>
  <c r="G32" i="31" s="1"/>
  <c r="F12" i="31"/>
  <c r="E12" i="31"/>
  <c r="E32" i="31" s="1"/>
  <c r="D12" i="31"/>
  <c r="P11" i="31"/>
  <c r="P7" i="31"/>
  <c r="P6" i="31"/>
  <c r="P12" i="31" s="1"/>
  <c r="P53" i="31" l="1"/>
  <c r="P26" i="31"/>
  <c r="F32" i="31"/>
  <c r="J32" i="31"/>
  <c r="N32" i="31"/>
  <c r="Q12" i="32"/>
  <c r="P32" i="32"/>
  <c r="Q32" i="32" s="1"/>
  <c r="P32" i="28"/>
  <c r="Q32" i="28" s="1"/>
  <c r="Q12" i="28"/>
  <c r="P32" i="31"/>
  <c r="D32" i="31"/>
  <c r="H32" i="31"/>
  <c r="L32" i="31"/>
  <c r="P18" i="31"/>
  <c r="P84" i="31"/>
  <c r="Q66" i="8" l="1"/>
  <c r="D53" i="5" l="1"/>
  <c r="E53" i="5"/>
  <c r="F53" i="5"/>
  <c r="G53" i="5"/>
  <c r="H53" i="5"/>
  <c r="I53" i="5"/>
  <c r="J53" i="5"/>
  <c r="K53" i="5"/>
  <c r="L53" i="5"/>
  <c r="M53" i="5"/>
  <c r="N53" i="5"/>
  <c r="P52" i="8" l="1"/>
  <c r="P48" i="8"/>
  <c r="P47" i="8"/>
  <c r="P46" i="8"/>
  <c r="P45" i="8"/>
  <c r="P56" i="9" l="1"/>
  <c r="Q75" i="8"/>
  <c r="Q56" i="8"/>
  <c r="Q65" i="8"/>
  <c r="Q63" i="8"/>
  <c r="Q58" i="8"/>
  <c r="Q52" i="12" l="1"/>
  <c r="P52" i="14"/>
  <c r="P52" i="6"/>
  <c r="P49" i="14"/>
  <c r="P49" i="6"/>
  <c r="P48" i="6"/>
  <c r="P48" i="14"/>
  <c r="P47" i="14"/>
  <c r="P47" i="6"/>
  <c r="P46" i="6"/>
  <c r="P46" i="14"/>
  <c r="P45" i="6"/>
  <c r="P45" i="14"/>
  <c r="P45" i="13"/>
  <c r="P52" i="9" l="1"/>
  <c r="P49" i="9"/>
  <c r="P48" i="9"/>
  <c r="P47" i="9"/>
  <c r="P46" i="9"/>
  <c r="M111" i="1" l="1"/>
  <c r="Q40" i="17" l="1"/>
  <c r="R82" i="14" l="1"/>
  <c r="P74" i="16" l="1"/>
  <c r="T65" i="23" l="1"/>
  <c r="D69" i="3" l="1"/>
  <c r="D69" i="4" s="1"/>
  <c r="J69" i="3"/>
  <c r="E69" i="3"/>
  <c r="F69" i="3"/>
  <c r="G69" i="3"/>
  <c r="H69" i="3"/>
  <c r="I69" i="3"/>
  <c r="K69" i="3"/>
  <c r="L69" i="3"/>
  <c r="M69" i="3"/>
  <c r="N69" i="3"/>
  <c r="O69" i="3"/>
  <c r="G71" i="3"/>
  <c r="H71" i="3"/>
  <c r="D72" i="3"/>
  <c r="E72" i="3"/>
  <c r="F72" i="3"/>
  <c r="G72" i="3"/>
  <c r="H72" i="3"/>
  <c r="I72" i="3"/>
  <c r="J72" i="3"/>
  <c r="K72" i="3"/>
  <c r="L72" i="3"/>
  <c r="M72" i="3"/>
  <c r="N72" i="3"/>
  <c r="O72" i="3"/>
  <c r="J37" i="10" l="1"/>
  <c r="H37" i="10"/>
  <c r="L41" i="13"/>
  <c r="L40" i="13"/>
  <c r="L39" i="13"/>
  <c r="L38" i="13"/>
  <c r="L37" i="13"/>
  <c r="L36" i="13"/>
  <c r="J40" i="5"/>
  <c r="E40" i="5"/>
  <c r="E36" i="28" l="1"/>
  <c r="K37" i="10"/>
  <c r="F36" i="32"/>
  <c r="D36" i="32"/>
  <c r="G37" i="10"/>
  <c r="L36" i="28"/>
  <c r="J36" i="28"/>
  <c r="G36" i="28"/>
  <c r="F37" i="10"/>
  <c r="J36" i="32"/>
  <c r="G36" i="32"/>
  <c r="L37" i="10"/>
  <c r="F36" i="28"/>
  <c r="D36" i="28"/>
  <c r="H36" i="28"/>
  <c r="D37" i="10"/>
  <c r="L36" i="32"/>
  <c r="N36" i="32"/>
  <c r="K36" i="32"/>
  <c r="O37" i="10"/>
  <c r="M36" i="28"/>
  <c r="I37" i="10"/>
  <c r="O36" i="28"/>
  <c r="I36" i="32"/>
  <c r="E36" i="32"/>
  <c r="M37" i="10"/>
  <c r="K36" i="28"/>
  <c r="N36" i="28"/>
  <c r="I36" i="28"/>
  <c r="N37" i="10"/>
  <c r="M36" i="32"/>
  <c r="H36" i="32"/>
  <c r="O36" i="32"/>
  <c r="E37" i="10"/>
  <c r="K36" i="9"/>
  <c r="O40" i="5"/>
  <c r="H40" i="5"/>
  <c r="M40" i="5"/>
  <c r="L38" i="5"/>
  <c r="G40" i="5"/>
  <c r="I41" i="13"/>
  <c r="I40" i="13"/>
  <c r="I39" i="13"/>
  <c r="I38" i="13"/>
  <c r="I37" i="13"/>
  <c r="I36" i="13"/>
  <c r="M41" i="13"/>
  <c r="M40" i="13"/>
  <c r="M37" i="13"/>
  <c r="M36" i="13"/>
  <c r="M39" i="13"/>
  <c r="M38" i="13"/>
  <c r="E41" i="13"/>
  <c r="E40" i="13"/>
  <c r="E38" i="13"/>
  <c r="E37" i="13"/>
  <c r="E36" i="13"/>
  <c r="E39" i="13"/>
  <c r="N41" i="13"/>
  <c r="N40" i="13"/>
  <c r="N37" i="13"/>
  <c r="N38" i="13"/>
  <c r="N36" i="13"/>
  <c r="N39" i="13"/>
  <c r="I39" i="5"/>
  <c r="N40" i="5"/>
  <c r="H41" i="13"/>
  <c r="H40" i="13"/>
  <c r="H38" i="13"/>
  <c r="H37" i="13"/>
  <c r="H36" i="13"/>
  <c r="H39" i="13"/>
  <c r="G41" i="13"/>
  <c r="G40" i="13"/>
  <c r="G38" i="13"/>
  <c r="G39" i="13"/>
  <c r="G36" i="13"/>
  <c r="G37" i="13"/>
  <c r="D41" i="13"/>
  <c r="D40" i="13"/>
  <c r="D36" i="13"/>
  <c r="D39" i="13"/>
  <c r="D38" i="13"/>
  <c r="D37" i="13"/>
  <c r="F40" i="13"/>
  <c r="F41" i="13"/>
  <c r="F36" i="13"/>
  <c r="F39" i="13"/>
  <c r="F37" i="13"/>
  <c r="F38" i="13"/>
  <c r="J39" i="13"/>
  <c r="J40" i="13"/>
  <c r="J38" i="13"/>
  <c r="J41" i="13"/>
  <c r="J36" i="13"/>
  <c r="J37" i="13"/>
  <c r="F40" i="5"/>
  <c r="K36" i="5"/>
  <c r="K41" i="13"/>
  <c r="K40" i="13"/>
  <c r="K37" i="13"/>
  <c r="K38" i="13"/>
  <c r="K39" i="13"/>
  <c r="K36" i="13"/>
  <c r="E36" i="5"/>
  <c r="E38" i="5"/>
  <c r="E39" i="5"/>
  <c r="J36" i="5"/>
  <c r="J38" i="5"/>
  <c r="J39" i="5"/>
  <c r="O38" i="5"/>
  <c r="G38" i="5"/>
  <c r="H36" i="5"/>
  <c r="L36" i="5"/>
  <c r="H38" i="15"/>
  <c r="H39" i="15"/>
  <c r="M38" i="15"/>
  <c r="M39" i="15"/>
  <c r="G38" i="15"/>
  <c r="G39" i="15"/>
  <c r="L38" i="15"/>
  <c r="L39" i="15"/>
  <c r="F38" i="15"/>
  <c r="F39" i="15"/>
  <c r="K38" i="15"/>
  <c r="K39" i="15"/>
  <c r="E38" i="15"/>
  <c r="E39" i="15"/>
  <c r="J38" i="15"/>
  <c r="J39" i="15"/>
  <c r="O38" i="15"/>
  <c r="O39" i="15"/>
  <c r="I38" i="15"/>
  <c r="I39" i="15"/>
  <c r="N38" i="15"/>
  <c r="N39" i="15"/>
  <c r="H36" i="15"/>
  <c r="M36" i="15"/>
  <c r="G36" i="15"/>
  <c r="L36" i="15"/>
  <c r="F36" i="15"/>
  <c r="K36" i="15"/>
  <c r="E36" i="15"/>
  <c r="J36" i="15"/>
  <c r="O36" i="15"/>
  <c r="I36" i="15"/>
  <c r="N36" i="15"/>
  <c r="O40" i="15"/>
  <c r="I40" i="15"/>
  <c r="G40" i="15"/>
  <c r="L40" i="15"/>
  <c r="F40" i="15"/>
  <c r="K40" i="15"/>
  <c r="E40" i="15"/>
  <c r="J40" i="15"/>
  <c r="N40" i="15"/>
  <c r="H40" i="15"/>
  <c r="M40" i="15"/>
  <c r="M37" i="15"/>
  <c r="K37" i="15"/>
  <c r="E37" i="15"/>
  <c r="J37" i="15"/>
  <c r="O37" i="15"/>
  <c r="I37" i="15"/>
  <c r="N37" i="15"/>
  <c r="H37" i="15"/>
  <c r="G37" i="15"/>
  <c r="L37" i="15"/>
  <c r="F37" i="15"/>
  <c r="E37" i="5"/>
  <c r="J37" i="5"/>
  <c r="M37" i="2"/>
  <c r="H37" i="2"/>
  <c r="L37" i="2"/>
  <c r="J37" i="2"/>
  <c r="O37" i="2"/>
  <c r="O41" i="15"/>
  <c r="I41" i="15"/>
  <c r="N41" i="15"/>
  <c r="H41" i="15"/>
  <c r="M41" i="15"/>
  <c r="G41" i="15"/>
  <c r="L41" i="15"/>
  <c r="F41" i="15"/>
  <c r="K41" i="15"/>
  <c r="E41" i="15"/>
  <c r="J41" i="15"/>
  <c r="G41" i="5"/>
  <c r="L41" i="5"/>
  <c r="E41" i="5"/>
  <c r="J41" i="5"/>
  <c r="M37" i="5" l="1"/>
  <c r="M36" i="12"/>
  <c r="E36" i="6"/>
  <c r="G36" i="6"/>
  <c r="D36" i="34"/>
  <c r="E36" i="34"/>
  <c r="G36" i="12"/>
  <c r="D36" i="6"/>
  <c r="H39" i="5"/>
  <c r="M39" i="5"/>
  <c r="L36" i="34"/>
  <c r="N36" i="34"/>
  <c r="L36" i="12"/>
  <c r="H36" i="12"/>
  <c r="N36" i="6"/>
  <c r="J36" i="6"/>
  <c r="I36" i="6"/>
  <c r="F36" i="34"/>
  <c r="I36" i="34"/>
  <c r="O36" i="12"/>
  <c r="I36" i="12"/>
  <c r="H36" i="6"/>
  <c r="D36" i="12"/>
  <c r="M36" i="6"/>
  <c r="O36" i="6"/>
  <c r="H41" i="5"/>
  <c r="H37" i="5"/>
  <c r="H38" i="5"/>
  <c r="K36" i="34"/>
  <c r="F36" i="12"/>
  <c r="J36" i="12"/>
  <c r="K36" i="12"/>
  <c r="L36" i="6"/>
  <c r="K36" i="6"/>
  <c r="F36" i="6"/>
  <c r="M36" i="8"/>
  <c r="G36" i="9"/>
  <c r="D36" i="9"/>
  <c r="E36" i="9"/>
  <c r="M36" i="9"/>
  <c r="H36" i="9"/>
  <c r="L36" i="9"/>
  <c r="N36" i="9"/>
  <c r="F36" i="9"/>
  <c r="I36" i="9"/>
  <c r="J36" i="9"/>
  <c r="O36" i="9"/>
  <c r="D36" i="25"/>
  <c r="M41" i="5"/>
  <c r="O37" i="5"/>
  <c r="M38" i="5"/>
  <c r="O36" i="5"/>
  <c r="M36" i="5"/>
  <c r="O41" i="5"/>
  <c r="O39" i="5"/>
  <c r="L40" i="5"/>
  <c r="N37" i="5"/>
  <c r="L37" i="5"/>
  <c r="L39" i="5"/>
  <c r="G36" i="5"/>
  <c r="G37" i="5"/>
  <c r="D40" i="5"/>
  <c r="K39" i="5"/>
  <c r="G39" i="5"/>
  <c r="F37" i="5"/>
  <c r="F39" i="5"/>
  <c r="N39" i="5"/>
  <c r="F38" i="5"/>
  <c r="N38" i="5"/>
  <c r="F41" i="5"/>
  <c r="N41" i="5"/>
  <c r="F36" i="5"/>
  <c r="N36" i="5"/>
  <c r="F35" i="11"/>
  <c r="L37" i="31"/>
  <c r="L40" i="31"/>
  <c r="L41" i="31"/>
  <c r="L39" i="31"/>
  <c r="L36" i="31"/>
  <c r="L38" i="31"/>
  <c r="K40" i="31"/>
  <c r="K37" i="31"/>
  <c r="K39" i="31"/>
  <c r="K41" i="31"/>
  <c r="K38" i="31"/>
  <c r="K36" i="31"/>
  <c r="I40" i="5"/>
  <c r="I35" i="11"/>
  <c r="N38" i="31"/>
  <c r="N40" i="31"/>
  <c r="N36" i="31"/>
  <c r="N39" i="31"/>
  <c r="N41" i="31"/>
  <c r="N37" i="31"/>
  <c r="E38" i="33"/>
  <c r="E40" i="33"/>
  <c r="E39" i="33"/>
  <c r="E36" i="33"/>
  <c r="E37" i="33"/>
  <c r="E41" i="33"/>
  <c r="K41" i="5"/>
  <c r="I41" i="5"/>
  <c r="K38" i="5"/>
  <c r="I38" i="5"/>
  <c r="I40" i="31"/>
  <c r="I41" i="31"/>
  <c r="I37" i="31"/>
  <c r="I36" i="31"/>
  <c r="I39" i="31"/>
  <c r="I38" i="31"/>
  <c r="D37" i="31"/>
  <c r="D40" i="31"/>
  <c r="D36" i="31"/>
  <c r="D41" i="31"/>
  <c r="D39" i="31"/>
  <c r="D38" i="31"/>
  <c r="N35" i="11"/>
  <c r="O38" i="13"/>
  <c r="O40" i="13"/>
  <c r="O37" i="13"/>
  <c r="O41" i="13"/>
  <c r="O39" i="13"/>
  <c r="O36" i="13"/>
  <c r="H35" i="2"/>
  <c r="I37" i="5"/>
  <c r="I36" i="5"/>
  <c r="E35" i="11"/>
  <c r="L40" i="33"/>
  <c r="L41" i="33"/>
  <c r="L37" i="33"/>
  <c r="L36" i="33"/>
  <c r="L38" i="33"/>
  <c r="L39" i="33"/>
  <c r="K40" i="33"/>
  <c r="K41" i="33"/>
  <c r="K37" i="33"/>
  <c r="K38" i="33"/>
  <c r="K36" i="33"/>
  <c r="K39" i="33"/>
  <c r="F41" i="33"/>
  <c r="F40" i="33"/>
  <c r="F38" i="33"/>
  <c r="F39" i="33"/>
  <c r="F37" i="33"/>
  <c r="F36" i="33"/>
  <c r="I38" i="33"/>
  <c r="I40" i="33"/>
  <c r="I41" i="33"/>
  <c r="I39" i="33"/>
  <c r="I36" i="33"/>
  <c r="I37" i="33"/>
  <c r="N41" i="33"/>
  <c r="N40" i="33"/>
  <c r="N38" i="33"/>
  <c r="N37" i="33"/>
  <c r="N39" i="33"/>
  <c r="N36" i="33"/>
  <c r="E40" i="31"/>
  <c r="E39" i="31"/>
  <c r="E38" i="31"/>
  <c r="E41" i="31"/>
  <c r="E36" i="31"/>
  <c r="E37" i="31"/>
  <c r="L35" i="11"/>
  <c r="K40" i="5"/>
  <c r="K35" i="11"/>
  <c r="F40" i="31"/>
  <c r="F36" i="31"/>
  <c r="F39" i="31"/>
  <c r="F41" i="31"/>
  <c r="F38" i="31"/>
  <c r="F37" i="31"/>
  <c r="K37" i="5"/>
  <c r="M35" i="2"/>
  <c r="N37" i="2"/>
  <c r="P35" i="9"/>
  <c r="D38" i="15"/>
  <c r="D39" i="15"/>
  <c r="E37" i="2"/>
  <c r="K37" i="2"/>
  <c r="G37" i="2"/>
  <c r="D36" i="15"/>
  <c r="F37" i="2"/>
  <c r="I37" i="2"/>
  <c r="P40" i="17"/>
  <c r="K40" i="1" s="1"/>
  <c r="D40" i="15"/>
  <c r="D37" i="15"/>
  <c r="P35" i="15"/>
  <c r="D41" i="15"/>
  <c r="P35" i="25" l="1"/>
  <c r="I36" i="14"/>
  <c r="I38" i="3"/>
  <c r="I36" i="25"/>
  <c r="M36" i="34"/>
  <c r="G36" i="34"/>
  <c r="H36" i="34"/>
  <c r="G36" i="14"/>
  <c r="E36" i="14"/>
  <c r="N36" i="14"/>
  <c r="J38" i="3"/>
  <c r="J36" i="25"/>
  <c r="M38" i="3"/>
  <c r="M36" i="25"/>
  <c r="K38" i="3"/>
  <c r="K36" i="25"/>
  <c r="J36" i="34"/>
  <c r="H36" i="14"/>
  <c r="G38" i="3"/>
  <c r="G36" i="25"/>
  <c r="E38" i="3"/>
  <c r="E36" i="25"/>
  <c r="E36" i="12"/>
  <c r="O36" i="14"/>
  <c r="F36" i="14"/>
  <c r="J36" i="14"/>
  <c r="L38" i="3"/>
  <c r="L36" i="25"/>
  <c r="D38" i="3"/>
  <c r="D39" i="25"/>
  <c r="N38" i="3"/>
  <c r="N36" i="25"/>
  <c r="N36" i="12"/>
  <c r="D41" i="5"/>
  <c r="D41" i="11" s="1"/>
  <c r="D37" i="5"/>
  <c r="D39" i="5"/>
  <c r="D39" i="11" s="1"/>
  <c r="D35" i="11"/>
  <c r="O36" i="34"/>
  <c r="L36" i="14"/>
  <c r="M36" i="14"/>
  <c r="K36" i="14"/>
  <c r="O38" i="3"/>
  <c r="O36" i="25"/>
  <c r="H38" i="3"/>
  <c r="H36" i="25"/>
  <c r="F38" i="3"/>
  <c r="F36" i="25"/>
  <c r="H38" i="2"/>
  <c r="H41" i="2"/>
  <c r="H40" i="2"/>
  <c r="H39" i="2"/>
  <c r="K36" i="8"/>
  <c r="I36" i="8"/>
  <c r="N36" i="8"/>
  <c r="F36" i="8"/>
  <c r="D36" i="8"/>
  <c r="G36" i="8"/>
  <c r="E36" i="8"/>
  <c r="L36" i="8"/>
  <c r="O36" i="8"/>
  <c r="J36" i="8"/>
  <c r="H36" i="8"/>
  <c r="D38" i="5"/>
  <c r="D38" i="11" s="1"/>
  <c r="D36" i="5"/>
  <c r="D36" i="11" s="1"/>
  <c r="D35" i="2"/>
  <c r="O35" i="2"/>
  <c r="F40" i="11"/>
  <c r="P35" i="33"/>
  <c r="F36" i="11"/>
  <c r="E38" i="11"/>
  <c r="E43" i="33"/>
  <c r="E106" i="33" s="1"/>
  <c r="E109" i="33" s="1"/>
  <c r="I43" i="34"/>
  <c r="I106" i="34" s="1"/>
  <c r="I109" i="34" s="1"/>
  <c r="F38" i="11"/>
  <c r="D43" i="33"/>
  <c r="D106" i="33" s="1"/>
  <c r="D109" i="33" s="1"/>
  <c r="M40" i="2"/>
  <c r="J35" i="2"/>
  <c r="N41" i="11"/>
  <c r="K39" i="11"/>
  <c r="D43" i="34"/>
  <c r="D106" i="34" s="1"/>
  <c r="D109" i="34" s="1"/>
  <c r="I39" i="11"/>
  <c r="K40" i="11"/>
  <c r="I43" i="33"/>
  <c r="I106" i="33" s="1"/>
  <c r="I109" i="33" s="1"/>
  <c r="F41" i="11"/>
  <c r="L43" i="33"/>
  <c r="L106" i="33" s="1"/>
  <c r="L109" i="33" s="1"/>
  <c r="F35" i="2"/>
  <c r="P35" i="31"/>
  <c r="L39" i="11"/>
  <c r="F43" i="31"/>
  <c r="F106" i="31" s="1"/>
  <c r="F109" i="31" s="1"/>
  <c r="E39" i="11"/>
  <c r="E43" i="34"/>
  <c r="E106" i="34" s="1"/>
  <c r="E109" i="34" s="1"/>
  <c r="E35" i="2"/>
  <c r="E36" i="11"/>
  <c r="N38" i="11"/>
  <c r="M43" i="32"/>
  <c r="M106" i="32" s="1"/>
  <c r="M109" i="32" s="1"/>
  <c r="H43" i="32"/>
  <c r="H106" i="32" s="1"/>
  <c r="H109" i="32" s="1"/>
  <c r="F43" i="33"/>
  <c r="F106" i="33" s="1"/>
  <c r="F109" i="33" s="1"/>
  <c r="G35" i="2"/>
  <c r="I43" i="31"/>
  <c r="I106" i="31" s="1"/>
  <c r="I109" i="31" s="1"/>
  <c r="K43" i="34"/>
  <c r="K106" i="34" s="1"/>
  <c r="K109" i="34" s="1"/>
  <c r="N43" i="31"/>
  <c r="N106" i="31" s="1"/>
  <c r="N109" i="31" s="1"/>
  <c r="L38" i="11"/>
  <c r="L40" i="11"/>
  <c r="E41" i="11"/>
  <c r="L36" i="11"/>
  <c r="M39" i="2"/>
  <c r="M41" i="2"/>
  <c r="L35" i="2"/>
  <c r="N39" i="11"/>
  <c r="F39" i="11"/>
  <c r="K43" i="33"/>
  <c r="K106" i="33" s="1"/>
  <c r="K109" i="33" s="1"/>
  <c r="N43" i="34"/>
  <c r="N106" i="34" s="1"/>
  <c r="N109" i="34" s="1"/>
  <c r="F43" i="34"/>
  <c r="F106" i="34" s="1"/>
  <c r="F109" i="34" s="1"/>
  <c r="N36" i="11"/>
  <c r="L41" i="11"/>
  <c r="M43" i="28"/>
  <c r="M106" i="28" s="1"/>
  <c r="M109" i="28" s="1"/>
  <c r="M39" i="31"/>
  <c r="M40" i="31"/>
  <c r="M37" i="31"/>
  <c r="M38" i="31"/>
  <c r="M36" i="31"/>
  <c r="M41" i="31"/>
  <c r="N35" i="2"/>
  <c r="E43" i="31"/>
  <c r="E106" i="31" s="1"/>
  <c r="E109" i="31" s="1"/>
  <c r="I36" i="11"/>
  <c r="L43" i="34"/>
  <c r="L106" i="34" s="1"/>
  <c r="L109" i="34" s="1"/>
  <c r="J35" i="11"/>
  <c r="I38" i="11"/>
  <c r="P35" i="32"/>
  <c r="H41" i="31"/>
  <c r="H40" i="31"/>
  <c r="H36" i="31"/>
  <c r="H38" i="31"/>
  <c r="H39" i="31"/>
  <c r="H37" i="31"/>
  <c r="K43" i="31"/>
  <c r="K106" i="31" s="1"/>
  <c r="K109" i="31" s="1"/>
  <c r="O35" i="11"/>
  <c r="K36" i="11"/>
  <c r="M38" i="2"/>
  <c r="G40" i="33"/>
  <c r="G41" i="33"/>
  <c r="G37" i="33"/>
  <c r="G38" i="33"/>
  <c r="G39" i="33"/>
  <c r="G36" i="33"/>
  <c r="J38" i="31"/>
  <c r="J40" i="31"/>
  <c r="J36" i="31"/>
  <c r="J39" i="31"/>
  <c r="J41" i="31"/>
  <c r="J37" i="31"/>
  <c r="P35" i="28"/>
  <c r="I41" i="11"/>
  <c r="N40" i="11"/>
  <c r="H40" i="33"/>
  <c r="H37" i="33"/>
  <c r="H41" i="33"/>
  <c r="H36" i="33"/>
  <c r="H38" i="33"/>
  <c r="H39" i="33"/>
  <c r="O40" i="31"/>
  <c r="O38" i="31"/>
  <c r="O37" i="31"/>
  <c r="O41" i="31"/>
  <c r="O39" i="31"/>
  <c r="O36" i="31"/>
  <c r="I35" i="2"/>
  <c r="M38" i="33"/>
  <c r="M40" i="33"/>
  <c r="M37" i="33"/>
  <c r="M41" i="33"/>
  <c r="M39" i="33"/>
  <c r="M36" i="33"/>
  <c r="H43" i="28"/>
  <c r="H106" i="28" s="1"/>
  <c r="H109" i="28" s="1"/>
  <c r="K35" i="2"/>
  <c r="E40" i="11"/>
  <c r="G35" i="11"/>
  <c r="D40" i="11"/>
  <c r="K38" i="11"/>
  <c r="P35" i="8"/>
  <c r="K41" i="11"/>
  <c r="L43" i="31"/>
  <c r="L106" i="31" s="1"/>
  <c r="L109" i="31" s="1"/>
  <c r="M35" i="11"/>
  <c r="N43" i="33"/>
  <c r="N106" i="33" s="1"/>
  <c r="N109" i="33" s="1"/>
  <c r="P35" i="34"/>
  <c r="D43" i="31"/>
  <c r="D106" i="31" s="1"/>
  <c r="D109" i="31" s="1"/>
  <c r="G40" i="31"/>
  <c r="G37" i="31"/>
  <c r="G41" i="31"/>
  <c r="G39" i="31"/>
  <c r="G36" i="31"/>
  <c r="G38" i="31"/>
  <c r="J41" i="33"/>
  <c r="J40" i="33"/>
  <c r="J38" i="33"/>
  <c r="J36" i="33"/>
  <c r="J39" i="33"/>
  <c r="J37" i="33"/>
  <c r="I40" i="11"/>
  <c r="H35" i="11"/>
  <c r="O40" i="33"/>
  <c r="O37" i="33"/>
  <c r="O38" i="33"/>
  <c r="O41" i="33"/>
  <c r="O36" i="33"/>
  <c r="O39" i="33"/>
  <c r="P39" i="9"/>
  <c r="D37" i="2"/>
  <c r="P37" i="9"/>
  <c r="P36" i="9"/>
  <c r="P38" i="9"/>
  <c r="P38" i="25" l="1"/>
  <c r="D36" i="14"/>
  <c r="D39" i="2"/>
  <c r="G38" i="2"/>
  <c r="F41" i="2"/>
  <c r="L40" i="2"/>
  <c r="F39" i="2"/>
  <c r="I43" i="32"/>
  <c r="I106" i="32" s="1"/>
  <c r="I109" i="32" s="1"/>
  <c r="D40" i="2"/>
  <c r="E39" i="2"/>
  <c r="N40" i="2"/>
  <c r="D38" i="2"/>
  <c r="O38" i="2"/>
  <c r="P36" i="31"/>
  <c r="G39" i="2"/>
  <c r="K38" i="2"/>
  <c r="L38" i="2"/>
  <c r="I40" i="2"/>
  <c r="J40" i="2"/>
  <c r="E43" i="32"/>
  <c r="E106" i="32" s="1"/>
  <c r="E109" i="32" s="1"/>
  <c r="M40" i="11"/>
  <c r="N43" i="28"/>
  <c r="N106" i="28" s="1"/>
  <c r="N109" i="28" s="1"/>
  <c r="P37" i="31"/>
  <c r="E40" i="2"/>
  <c r="P40" i="31"/>
  <c r="M41" i="11"/>
  <c r="I41" i="2"/>
  <c r="P40" i="34"/>
  <c r="E41" i="2"/>
  <c r="N38" i="2"/>
  <c r="M38" i="11"/>
  <c r="O39" i="2"/>
  <c r="P40" i="28"/>
  <c r="J38" i="2"/>
  <c r="P41" i="31"/>
  <c r="J43" i="31"/>
  <c r="J106" i="31" s="1"/>
  <c r="J109" i="31" s="1"/>
  <c r="K39" i="2"/>
  <c r="L39" i="2"/>
  <c r="P36" i="34"/>
  <c r="P38" i="33"/>
  <c r="H38" i="11"/>
  <c r="M43" i="34"/>
  <c r="M106" i="34" s="1"/>
  <c r="M109" i="34" s="1"/>
  <c r="G43" i="34"/>
  <c r="G106" i="34" s="1"/>
  <c r="G109" i="34" s="1"/>
  <c r="P41" i="33"/>
  <c r="F38" i="2"/>
  <c r="I39" i="2"/>
  <c r="G43" i="32"/>
  <c r="G106" i="32" s="1"/>
  <c r="G109" i="32" s="1"/>
  <c r="M43" i="33"/>
  <c r="M106" i="33" s="1"/>
  <c r="M109" i="33" s="1"/>
  <c r="P36" i="33"/>
  <c r="K41" i="2"/>
  <c r="H43" i="31"/>
  <c r="H106" i="31" s="1"/>
  <c r="H109" i="31" s="1"/>
  <c r="I43" i="28"/>
  <c r="I106" i="28" s="1"/>
  <c r="I109" i="28" s="1"/>
  <c r="P41" i="34"/>
  <c r="K43" i="32"/>
  <c r="K106" i="32" s="1"/>
  <c r="K109" i="32" s="1"/>
  <c r="O40" i="2"/>
  <c r="P39" i="31"/>
  <c r="E38" i="2"/>
  <c r="M36" i="11"/>
  <c r="P39" i="34"/>
  <c r="J43" i="34"/>
  <c r="J106" i="34" s="1"/>
  <c r="J109" i="34" s="1"/>
  <c r="F43" i="28"/>
  <c r="F106" i="28" s="1"/>
  <c r="F109" i="28" s="1"/>
  <c r="P37" i="33"/>
  <c r="H40" i="11"/>
  <c r="I38" i="2"/>
  <c r="O41" i="2"/>
  <c r="P38" i="31"/>
  <c r="F40" i="2"/>
  <c r="O43" i="34"/>
  <c r="O106" i="34" s="1"/>
  <c r="O109" i="34" s="1"/>
  <c r="E43" i="28"/>
  <c r="E106" i="28" s="1"/>
  <c r="E109" i="28" s="1"/>
  <c r="N41" i="2"/>
  <c r="H43" i="33"/>
  <c r="H106" i="33" s="1"/>
  <c r="H109" i="33" s="1"/>
  <c r="P39" i="33"/>
  <c r="P40" i="33"/>
  <c r="J43" i="28"/>
  <c r="J106" i="28" s="1"/>
  <c r="J109" i="28" s="1"/>
  <c r="M43" i="31"/>
  <c r="M106" i="31" s="1"/>
  <c r="M109" i="31" s="1"/>
  <c r="D43" i="32"/>
  <c r="D106" i="32" s="1"/>
  <c r="D109" i="32" s="1"/>
  <c r="J43" i="32"/>
  <c r="J106" i="32" s="1"/>
  <c r="J109" i="32" s="1"/>
  <c r="O43" i="33"/>
  <c r="O106" i="33" s="1"/>
  <c r="O109" i="33" s="1"/>
  <c r="H36" i="11"/>
  <c r="J43" i="33"/>
  <c r="J106" i="33" s="1"/>
  <c r="J109" i="33" s="1"/>
  <c r="G43" i="31"/>
  <c r="G106" i="31" s="1"/>
  <c r="G109" i="31" s="1"/>
  <c r="N39" i="2"/>
  <c r="H43" i="34"/>
  <c r="H106" i="34" s="1"/>
  <c r="H109" i="34" s="1"/>
  <c r="G41" i="11"/>
  <c r="G36" i="11"/>
  <c r="K40" i="2"/>
  <c r="O43" i="31"/>
  <c r="O106" i="31" s="1"/>
  <c r="O109" i="31" s="1"/>
  <c r="P41" i="28"/>
  <c r="P36" i="28"/>
  <c r="G43" i="33"/>
  <c r="G106" i="33" s="1"/>
  <c r="G109" i="33" s="1"/>
  <c r="O41" i="11"/>
  <c r="O40" i="11"/>
  <c r="P41" i="32"/>
  <c r="P38" i="32"/>
  <c r="J39" i="11"/>
  <c r="G41" i="2"/>
  <c r="D41" i="2"/>
  <c r="P38" i="28"/>
  <c r="P40" i="32"/>
  <c r="J36" i="11"/>
  <c r="J41" i="11"/>
  <c r="G38" i="11"/>
  <c r="H41" i="11"/>
  <c r="H39" i="11"/>
  <c r="G43" i="28"/>
  <c r="G106" i="28" s="1"/>
  <c r="G109" i="28" s="1"/>
  <c r="M39" i="11"/>
  <c r="J39" i="2"/>
  <c r="G39" i="11"/>
  <c r="G40" i="11"/>
  <c r="L41" i="2"/>
  <c r="P39" i="28"/>
  <c r="Q39" i="28" s="1"/>
  <c r="N43" i="32"/>
  <c r="N106" i="32" s="1"/>
  <c r="N109" i="32" s="1"/>
  <c r="O36" i="11"/>
  <c r="O39" i="11"/>
  <c r="P36" i="32"/>
  <c r="J38" i="11"/>
  <c r="G40" i="2"/>
  <c r="P38" i="34"/>
  <c r="L43" i="32"/>
  <c r="L106" i="32" s="1"/>
  <c r="L109" i="32" s="1"/>
  <c r="O43" i="28"/>
  <c r="O106" i="28" s="1"/>
  <c r="O109" i="28" s="1"/>
  <c r="D43" i="28"/>
  <c r="D106" i="28" s="1"/>
  <c r="D109" i="28" s="1"/>
  <c r="J41" i="2"/>
  <c r="O43" i="32"/>
  <c r="O106" i="32" s="1"/>
  <c r="O109" i="32" s="1"/>
  <c r="F43" i="32"/>
  <c r="F106" i="32" s="1"/>
  <c r="F109" i="32" s="1"/>
  <c r="K43" i="28"/>
  <c r="K106" i="28" s="1"/>
  <c r="K109" i="28" s="1"/>
  <c r="L43" i="28"/>
  <c r="L106" i="28" s="1"/>
  <c r="L109" i="28" s="1"/>
  <c r="O38" i="11"/>
  <c r="P39" i="32"/>
  <c r="Q39" i="32" s="1"/>
  <c r="J40" i="11"/>
  <c r="P39" i="16"/>
  <c r="P40" i="16"/>
  <c r="G38" i="21"/>
  <c r="F9" i="30" l="1"/>
  <c r="Q43" i="28"/>
  <c r="P43" i="32"/>
  <c r="P106" i="32" s="1"/>
  <c r="P109" i="32" s="1"/>
  <c r="P43" i="33"/>
  <c r="P106" i="33" s="1"/>
  <c r="P109" i="33" s="1"/>
  <c r="P43" i="31"/>
  <c r="P106" i="31" s="1"/>
  <c r="P109" i="31" s="1"/>
  <c r="P43" i="34"/>
  <c r="P106" i="34" s="1"/>
  <c r="P109" i="34" s="1"/>
  <c r="Q43" i="32"/>
  <c r="P43" i="28"/>
  <c r="P106" i="28" s="1"/>
  <c r="P109" i="28" s="1"/>
  <c r="P21" i="16"/>
  <c r="P49" i="18"/>
  <c r="C5" i="36" l="1"/>
  <c r="P78" i="23"/>
  <c r="J75" i="7" l="1"/>
  <c r="D56" i="3" l="1"/>
  <c r="P79" i="17" l="1"/>
  <c r="P80" i="17"/>
  <c r="P81" i="17"/>
  <c r="P82" i="17"/>
  <c r="K38" i="21" l="1"/>
  <c r="Q38" i="21" l="1"/>
  <c r="S38" i="21"/>
  <c r="W38" i="21"/>
  <c r="M38" i="21"/>
  <c r="R38" i="21"/>
  <c r="V38" i="21"/>
  <c r="P38" i="21"/>
  <c r="T38" i="21"/>
  <c r="X38" i="21"/>
  <c r="U38" i="21"/>
  <c r="N38" i="21"/>
  <c r="O38" i="21"/>
  <c r="O30" i="2"/>
  <c r="N30" i="2"/>
  <c r="M30" i="2"/>
  <c r="L30" i="2"/>
  <c r="K30" i="2"/>
  <c r="J30" i="2"/>
  <c r="I30" i="2"/>
  <c r="H30" i="2"/>
  <c r="G30" i="2"/>
  <c r="F30" i="2"/>
  <c r="E30" i="2"/>
  <c r="D30" i="2"/>
  <c r="O29" i="2"/>
  <c r="N29" i="2"/>
  <c r="M29" i="2"/>
  <c r="L29" i="2"/>
  <c r="K29" i="2"/>
  <c r="J29" i="2"/>
  <c r="I29" i="2"/>
  <c r="H29" i="2"/>
  <c r="G29" i="2"/>
  <c r="F29" i="2"/>
  <c r="E29" i="2"/>
  <c r="D29" i="2"/>
  <c r="O26" i="16" l="1"/>
  <c r="N26" i="16"/>
  <c r="M26" i="16"/>
  <c r="L26" i="16"/>
  <c r="K26" i="16"/>
  <c r="P25" i="16"/>
  <c r="P24" i="16"/>
  <c r="P23" i="16"/>
  <c r="P22" i="16"/>
  <c r="P20" i="16"/>
  <c r="P26" i="16" l="1"/>
  <c r="G20" i="21" l="1"/>
  <c r="K20" i="21" s="1"/>
  <c r="M20" i="21" s="1"/>
  <c r="G19" i="21"/>
  <c r="K19" i="21" s="1"/>
  <c r="G18" i="21"/>
  <c r="K18" i="21" s="1"/>
  <c r="G17" i="21"/>
  <c r="K17" i="21" s="1"/>
  <c r="G16" i="21"/>
  <c r="K16" i="21" s="1"/>
  <c r="G15" i="21"/>
  <c r="K15" i="21" s="1"/>
  <c r="G14" i="21"/>
  <c r="G13" i="21"/>
  <c r="K13" i="21" s="1"/>
  <c r="G12" i="21"/>
  <c r="K12" i="21" s="1"/>
  <c r="G11" i="21"/>
  <c r="K11" i="21" s="1"/>
  <c r="G10" i="21"/>
  <c r="K10" i="21" s="1"/>
  <c r="G9" i="21"/>
  <c r="K9" i="21" s="1"/>
  <c r="G8" i="21"/>
  <c r="K8" i="21" s="1"/>
  <c r="G6" i="21"/>
  <c r="K6" i="21" s="1"/>
  <c r="G5" i="21"/>
  <c r="G40" i="21"/>
  <c r="K40" i="21" s="1"/>
  <c r="G37" i="21"/>
  <c r="K37" i="21" s="1"/>
  <c r="G36" i="21"/>
  <c r="K36" i="21" s="1"/>
  <c r="G35" i="21"/>
  <c r="K35" i="21" s="1"/>
  <c r="G34" i="21"/>
  <c r="K34" i="21" s="1"/>
  <c r="G33" i="21"/>
  <c r="K33" i="21" s="1"/>
  <c r="G31" i="21"/>
  <c r="K31" i="21" s="1"/>
  <c r="G29" i="21"/>
  <c r="K29" i="21" s="1"/>
  <c r="G28" i="21"/>
  <c r="K28" i="21" s="1"/>
  <c r="G27" i="21"/>
  <c r="K27" i="21" s="1"/>
  <c r="G26" i="21"/>
  <c r="K26" i="21" s="1"/>
  <c r="G25" i="21"/>
  <c r="U40" i="21" l="1"/>
  <c r="Q40" i="21"/>
  <c r="M40" i="21"/>
  <c r="T40" i="21"/>
  <c r="P40" i="21"/>
  <c r="W40" i="21"/>
  <c r="O40" i="21"/>
  <c r="X40" i="21"/>
  <c r="S40" i="21"/>
  <c r="V40" i="21"/>
  <c r="R40" i="21"/>
  <c r="N40" i="21"/>
  <c r="K5" i="21"/>
  <c r="G22" i="21"/>
  <c r="G23" i="21" s="1"/>
  <c r="K25" i="21"/>
  <c r="G42" i="21"/>
  <c r="K14" i="21"/>
  <c r="K23" i="21" s="1"/>
  <c r="I104" i="3"/>
  <c r="H104" i="3"/>
  <c r="G104" i="3"/>
  <c r="F104" i="3"/>
  <c r="E104" i="3"/>
  <c r="D104" i="3"/>
  <c r="I103" i="3"/>
  <c r="H103" i="3"/>
  <c r="G103" i="3"/>
  <c r="F103" i="3"/>
  <c r="E103" i="3"/>
  <c r="D103" i="3"/>
  <c r="I102" i="3"/>
  <c r="H102" i="3"/>
  <c r="G102" i="3"/>
  <c r="F102" i="3"/>
  <c r="E102" i="3"/>
  <c r="D102" i="3"/>
  <c r="I101" i="3"/>
  <c r="H101" i="3"/>
  <c r="G101" i="3"/>
  <c r="F101" i="3"/>
  <c r="E101" i="3"/>
  <c r="D101" i="3"/>
  <c r="I100" i="3"/>
  <c r="H100" i="3"/>
  <c r="G100" i="3"/>
  <c r="F100" i="3"/>
  <c r="E100" i="3"/>
  <c r="D100" i="3"/>
  <c r="I99" i="3"/>
  <c r="H99" i="3"/>
  <c r="G99" i="3"/>
  <c r="F99" i="3"/>
  <c r="E99" i="3"/>
  <c r="D99" i="3"/>
  <c r="I98" i="3"/>
  <c r="H98" i="3"/>
  <c r="G98" i="3"/>
  <c r="F98" i="3"/>
  <c r="E98" i="3"/>
  <c r="D98" i="3"/>
  <c r="I97" i="3"/>
  <c r="H97" i="3"/>
  <c r="G97" i="3"/>
  <c r="F97" i="3"/>
  <c r="E97" i="3"/>
  <c r="D97" i="3"/>
  <c r="I96" i="3"/>
  <c r="H96" i="3"/>
  <c r="G96" i="3"/>
  <c r="F96" i="3"/>
  <c r="E96" i="3"/>
  <c r="D96" i="3"/>
  <c r="I95" i="3"/>
  <c r="H95" i="3"/>
  <c r="G95" i="3"/>
  <c r="F95" i="3"/>
  <c r="E95" i="3"/>
  <c r="D95" i="3"/>
  <c r="I94" i="3"/>
  <c r="H94" i="3"/>
  <c r="G94" i="3"/>
  <c r="F94" i="3"/>
  <c r="E94" i="3"/>
  <c r="D94" i="3"/>
  <c r="I93" i="3"/>
  <c r="H93" i="3"/>
  <c r="G93" i="3"/>
  <c r="F93" i="3"/>
  <c r="E93" i="3"/>
  <c r="D93" i="3"/>
  <c r="I92" i="3"/>
  <c r="H92" i="3"/>
  <c r="G92" i="3"/>
  <c r="F92" i="3"/>
  <c r="E92" i="3"/>
  <c r="D92" i="3"/>
  <c r="I91" i="3"/>
  <c r="H91" i="3"/>
  <c r="G91" i="3"/>
  <c r="F91" i="3"/>
  <c r="E91" i="3"/>
  <c r="D91" i="3"/>
  <c r="I90" i="3"/>
  <c r="H90" i="3"/>
  <c r="G90" i="3"/>
  <c r="F90" i="3"/>
  <c r="E90" i="3"/>
  <c r="D90" i="3"/>
  <c r="I89" i="3"/>
  <c r="H89" i="3"/>
  <c r="G89" i="3"/>
  <c r="F89" i="3"/>
  <c r="E89" i="3"/>
  <c r="D89" i="3"/>
  <c r="I88" i="3"/>
  <c r="H88" i="3"/>
  <c r="G88" i="3"/>
  <c r="F88" i="3"/>
  <c r="E88" i="3"/>
  <c r="D88" i="3"/>
  <c r="I87" i="3"/>
  <c r="H87" i="3"/>
  <c r="G87" i="3"/>
  <c r="F87" i="3"/>
  <c r="E87" i="3"/>
  <c r="D87" i="3"/>
  <c r="I86" i="3"/>
  <c r="H86" i="3"/>
  <c r="G86" i="3"/>
  <c r="F86" i="3"/>
  <c r="E86" i="3"/>
  <c r="D86" i="3"/>
  <c r="I83" i="3"/>
  <c r="H83" i="3"/>
  <c r="G83" i="3"/>
  <c r="F83" i="3"/>
  <c r="E83" i="3"/>
  <c r="D83" i="3"/>
  <c r="I82" i="3"/>
  <c r="H82" i="3"/>
  <c r="G82" i="3"/>
  <c r="F82" i="3"/>
  <c r="E82" i="3"/>
  <c r="D82" i="3"/>
  <c r="I81" i="3"/>
  <c r="H81" i="3"/>
  <c r="G81" i="3"/>
  <c r="F81" i="3"/>
  <c r="E81" i="3"/>
  <c r="D81" i="3"/>
  <c r="I80" i="3"/>
  <c r="H80" i="3"/>
  <c r="G80" i="3"/>
  <c r="F80" i="3"/>
  <c r="E80" i="3"/>
  <c r="D80" i="3"/>
  <c r="I79" i="3"/>
  <c r="H79" i="3"/>
  <c r="G79" i="3"/>
  <c r="F79" i="3"/>
  <c r="E79" i="3"/>
  <c r="D79" i="3"/>
  <c r="I78" i="3"/>
  <c r="H78" i="3"/>
  <c r="G78" i="3"/>
  <c r="F78" i="3"/>
  <c r="E78" i="3"/>
  <c r="D78" i="3"/>
  <c r="I77" i="3"/>
  <c r="H77" i="3"/>
  <c r="G77" i="3"/>
  <c r="F77" i="3"/>
  <c r="E77" i="3"/>
  <c r="D77" i="3"/>
  <c r="I76" i="3"/>
  <c r="H76" i="3"/>
  <c r="G76" i="3"/>
  <c r="F76" i="3"/>
  <c r="E76" i="3"/>
  <c r="D76" i="3"/>
  <c r="I75" i="3"/>
  <c r="H75" i="3"/>
  <c r="G75" i="3"/>
  <c r="F75" i="3"/>
  <c r="E75" i="3"/>
  <c r="D75" i="3"/>
  <c r="I74" i="3"/>
  <c r="H74" i="3"/>
  <c r="G74" i="3"/>
  <c r="F74" i="3"/>
  <c r="E74" i="3"/>
  <c r="D74" i="3"/>
  <c r="D74" i="4" s="1"/>
  <c r="I73" i="3"/>
  <c r="H73" i="3"/>
  <c r="G73" i="3"/>
  <c r="F73" i="3"/>
  <c r="E73" i="3"/>
  <c r="D73" i="3"/>
  <c r="I71" i="3"/>
  <c r="F71" i="3"/>
  <c r="E71" i="3"/>
  <c r="D71" i="3"/>
  <c r="I70" i="3"/>
  <c r="H70" i="3"/>
  <c r="G70" i="3"/>
  <c r="F70" i="3"/>
  <c r="E70" i="3"/>
  <c r="D70" i="3"/>
  <c r="I67" i="3"/>
  <c r="H67" i="3"/>
  <c r="G67" i="3"/>
  <c r="F67" i="3"/>
  <c r="E67" i="3"/>
  <c r="D67" i="3"/>
  <c r="I66" i="3"/>
  <c r="H66" i="3"/>
  <c r="G66" i="3"/>
  <c r="F66" i="3"/>
  <c r="E66" i="3"/>
  <c r="D66" i="3"/>
  <c r="I65" i="3"/>
  <c r="H65" i="3"/>
  <c r="G65" i="3"/>
  <c r="F65" i="3"/>
  <c r="E65" i="3"/>
  <c r="D65" i="3"/>
  <c r="I64" i="3"/>
  <c r="H64" i="3"/>
  <c r="G64" i="3"/>
  <c r="F64" i="3"/>
  <c r="E64" i="3"/>
  <c r="D64" i="3"/>
  <c r="I63" i="3"/>
  <c r="H63" i="3"/>
  <c r="G63" i="3"/>
  <c r="F63" i="3"/>
  <c r="E63" i="3"/>
  <c r="D63" i="3"/>
  <c r="I62" i="3"/>
  <c r="H62" i="3"/>
  <c r="G62" i="3"/>
  <c r="F62" i="3"/>
  <c r="E62" i="3"/>
  <c r="D62" i="3"/>
  <c r="I61" i="3"/>
  <c r="H61" i="3"/>
  <c r="G61" i="3"/>
  <c r="F61" i="3"/>
  <c r="E61" i="3"/>
  <c r="D61" i="3"/>
  <c r="I60" i="3"/>
  <c r="H60" i="3"/>
  <c r="G60" i="3"/>
  <c r="F60" i="3"/>
  <c r="E60" i="3"/>
  <c r="D60" i="3"/>
  <c r="I59" i="3"/>
  <c r="H59" i="3"/>
  <c r="G59" i="3"/>
  <c r="F59" i="3"/>
  <c r="E59" i="3"/>
  <c r="D59" i="3"/>
  <c r="I57" i="3"/>
  <c r="H57" i="3"/>
  <c r="G57" i="3"/>
  <c r="F57" i="3"/>
  <c r="E57" i="3"/>
  <c r="D57" i="3"/>
  <c r="I56" i="3"/>
  <c r="H56" i="3"/>
  <c r="G56" i="3"/>
  <c r="F56" i="3"/>
  <c r="E56" i="3"/>
  <c r="I55" i="3"/>
  <c r="H55" i="3"/>
  <c r="G55" i="3"/>
  <c r="F55" i="3"/>
  <c r="E55" i="3"/>
  <c r="D55" i="3"/>
  <c r="I52" i="3"/>
  <c r="H52" i="3"/>
  <c r="G52" i="3"/>
  <c r="F52" i="3"/>
  <c r="E52" i="3"/>
  <c r="D52" i="3"/>
  <c r="I51" i="3"/>
  <c r="H51" i="3"/>
  <c r="G51" i="3"/>
  <c r="F51" i="3"/>
  <c r="E51" i="3"/>
  <c r="D51" i="3"/>
  <c r="I49" i="3"/>
  <c r="H49" i="3"/>
  <c r="G49" i="3"/>
  <c r="F49" i="3"/>
  <c r="E49" i="3"/>
  <c r="D49" i="3"/>
  <c r="I48" i="3"/>
  <c r="H48" i="3"/>
  <c r="G48" i="3"/>
  <c r="F48" i="3"/>
  <c r="E48" i="3"/>
  <c r="D48" i="3"/>
  <c r="I47" i="3"/>
  <c r="H47" i="3"/>
  <c r="G47" i="3"/>
  <c r="F47" i="3"/>
  <c r="E47" i="3"/>
  <c r="D47" i="3"/>
  <c r="I46" i="3"/>
  <c r="H46" i="3"/>
  <c r="G46" i="3"/>
  <c r="F46" i="3"/>
  <c r="E46" i="3"/>
  <c r="D46" i="3"/>
  <c r="I45" i="3"/>
  <c r="H45" i="3"/>
  <c r="G45" i="3"/>
  <c r="F45" i="3"/>
  <c r="E45" i="3"/>
  <c r="D45" i="3"/>
  <c r="I42" i="3"/>
  <c r="H42" i="3"/>
  <c r="G42" i="3"/>
  <c r="F42" i="3"/>
  <c r="E42" i="3"/>
  <c r="D42" i="3"/>
  <c r="I31" i="3"/>
  <c r="H31" i="3"/>
  <c r="G31" i="3"/>
  <c r="F31" i="3"/>
  <c r="E31" i="3"/>
  <c r="D31" i="3"/>
  <c r="I30" i="3"/>
  <c r="H30" i="3"/>
  <c r="G30" i="3"/>
  <c r="F30" i="3"/>
  <c r="E30" i="3"/>
  <c r="D30" i="3"/>
  <c r="I29" i="3"/>
  <c r="H29" i="3"/>
  <c r="G29" i="3"/>
  <c r="F29" i="3"/>
  <c r="E29" i="3"/>
  <c r="D29" i="3"/>
  <c r="I28" i="3"/>
  <c r="H28" i="3"/>
  <c r="G28" i="3"/>
  <c r="F28" i="3"/>
  <c r="E28" i="3"/>
  <c r="D28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1" i="3"/>
  <c r="H11" i="3"/>
  <c r="G11" i="3"/>
  <c r="F11" i="3"/>
  <c r="E11" i="3"/>
  <c r="D11" i="3"/>
  <c r="I9" i="3"/>
  <c r="H9" i="3"/>
  <c r="G9" i="3"/>
  <c r="F9" i="3"/>
  <c r="E9" i="3"/>
  <c r="D9" i="3"/>
  <c r="I7" i="3"/>
  <c r="H7" i="3"/>
  <c r="G7" i="3"/>
  <c r="F7" i="3"/>
  <c r="E7" i="3"/>
  <c r="D7" i="3"/>
  <c r="I6" i="3"/>
  <c r="H6" i="3"/>
  <c r="G6" i="3"/>
  <c r="F6" i="3"/>
  <c r="E6" i="3"/>
  <c r="D6" i="3"/>
  <c r="I104" i="15"/>
  <c r="H104" i="15"/>
  <c r="G104" i="15"/>
  <c r="F104" i="15"/>
  <c r="E104" i="15"/>
  <c r="D104" i="15"/>
  <c r="I83" i="15"/>
  <c r="H83" i="15"/>
  <c r="G83" i="15"/>
  <c r="F83" i="15"/>
  <c r="E83" i="15"/>
  <c r="D83" i="15"/>
  <c r="I52" i="15"/>
  <c r="H52" i="15"/>
  <c r="G52" i="15"/>
  <c r="F52" i="15"/>
  <c r="E52" i="15"/>
  <c r="D52" i="15"/>
  <c r="I105" i="16"/>
  <c r="H105" i="16"/>
  <c r="G105" i="16"/>
  <c r="F105" i="16"/>
  <c r="E105" i="16"/>
  <c r="D105" i="16"/>
  <c r="I84" i="16"/>
  <c r="H84" i="16"/>
  <c r="G84" i="16"/>
  <c r="E84" i="16"/>
  <c r="D84" i="16"/>
  <c r="I53" i="16"/>
  <c r="H53" i="16"/>
  <c r="G53" i="16"/>
  <c r="F53" i="16"/>
  <c r="E53" i="16"/>
  <c r="D53" i="16"/>
  <c r="I26" i="16"/>
  <c r="H26" i="16"/>
  <c r="G26" i="16"/>
  <c r="F26" i="16"/>
  <c r="E26" i="16"/>
  <c r="D26" i="16"/>
  <c r="I18" i="16"/>
  <c r="H18" i="16"/>
  <c r="G18" i="16"/>
  <c r="F18" i="16"/>
  <c r="E18" i="16"/>
  <c r="D18" i="16"/>
  <c r="I12" i="16"/>
  <c r="H12" i="16"/>
  <c r="G12" i="16"/>
  <c r="F12" i="16"/>
  <c r="E12" i="16"/>
  <c r="D12" i="16"/>
  <c r="I105" i="17"/>
  <c r="H105" i="17"/>
  <c r="G105" i="17"/>
  <c r="F105" i="17"/>
  <c r="E105" i="17"/>
  <c r="D105" i="17"/>
  <c r="I53" i="17"/>
  <c r="H53" i="17"/>
  <c r="G53" i="17"/>
  <c r="F53" i="17"/>
  <c r="E53" i="17"/>
  <c r="D53" i="17"/>
  <c r="I105" i="5"/>
  <c r="H105" i="5"/>
  <c r="G105" i="5"/>
  <c r="F105" i="5"/>
  <c r="E105" i="5"/>
  <c r="D105" i="5"/>
  <c r="I84" i="5"/>
  <c r="G84" i="5"/>
  <c r="F84" i="5"/>
  <c r="E84" i="5"/>
  <c r="D84" i="5"/>
  <c r="I26" i="5"/>
  <c r="H26" i="5"/>
  <c r="G26" i="5"/>
  <c r="F26" i="5"/>
  <c r="E26" i="5"/>
  <c r="D26" i="5"/>
  <c r="I18" i="5"/>
  <c r="H18" i="5"/>
  <c r="G18" i="5"/>
  <c r="F18" i="5"/>
  <c r="E18" i="5"/>
  <c r="D18" i="5"/>
  <c r="I12" i="5"/>
  <c r="H12" i="5"/>
  <c r="G12" i="5"/>
  <c r="G32" i="5" s="1"/>
  <c r="F12" i="5"/>
  <c r="E12" i="5"/>
  <c r="D12" i="5"/>
  <c r="H106" i="10"/>
  <c r="H106" i="11" s="1"/>
  <c r="G106" i="10"/>
  <c r="G106" i="11" s="1"/>
  <c r="F106" i="10"/>
  <c r="F106" i="11" s="1"/>
  <c r="E106" i="10"/>
  <c r="E106" i="11" s="1"/>
  <c r="D106" i="10"/>
  <c r="D106" i="11" s="1"/>
  <c r="I85" i="10"/>
  <c r="H85" i="10"/>
  <c r="G85" i="10"/>
  <c r="F85" i="10"/>
  <c r="E85" i="10"/>
  <c r="D85" i="10"/>
  <c r="I54" i="10"/>
  <c r="H54" i="10"/>
  <c r="G54" i="10"/>
  <c r="F54" i="10"/>
  <c r="E54" i="10"/>
  <c r="D54" i="10"/>
  <c r="I27" i="10"/>
  <c r="H27" i="10"/>
  <c r="G27" i="10"/>
  <c r="F27" i="10"/>
  <c r="E27" i="10"/>
  <c r="D27" i="10"/>
  <c r="I19" i="10"/>
  <c r="H19" i="10"/>
  <c r="E19" i="10"/>
  <c r="D19" i="10"/>
  <c r="I13" i="10"/>
  <c r="H13" i="10"/>
  <c r="G13" i="10"/>
  <c r="E13" i="10"/>
  <c r="D13" i="10"/>
  <c r="G105" i="12"/>
  <c r="F105" i="12"/>
  <c r="I105" i="12"/>
  <c r="H105" i="12"/>
  <c r="E105" i="12"/>
  <c r="D105" i="12"/>
  <c r="I84" i="12"/>
  <c r="H84" i="12"/>
  <c r="G84" i="12"/>
  <c r="F84" i="12"/>
  <c r="E84" i="12"/>
  <c r="D84" i="12"/>
  <c r="I53" i="12"/>
  <c r="H53" i="12"/>
  <c r="G53" i="12"/>
  <c r="F53" i="12"/>
  <c r="E53" i="12"/>
  <c r="D53" i="12"/>
  <c r="I26" i="12"/>
  <c r="H26" i="12"/>
  <c r="G26" i="12"/>
  <c r="F26" i="12"/>
  <c r="E26" i="12"/>
  <c r="D26" i="12"/>
  <c r="I18" i="12"/>
  <c r="H18" i="12"/>
  <c r="G18" i="12"/>
  <c r="F18" i="12"/>
  <c r="E18" i="12"/>
  <c r="D18" i="12"/>
  <c r="G105" i="13"/>
  <c r="F105" i="13"/>
  <c r="I105" i="13"/>
  <c r="H105" i="13"/>
  <c r="E105" i="13"/>
  <c r="D105" i="13"/>
  <c r="I84" i="13"/>
  <c r="H84" i="13"/>
  <c r="G84" i="13"/>
  <c r="F84" i="13"/>
  <c r="E84" i="13"/>
  <c r="D84" i="13"/>
  <c r="I53" i="13"/>
  <c r="H53" i="13"/>
  <c r="G53" i="13"/>
  <c r="F53" i="13"/>
  <c r="E53" i="13"/>
  <c r="I26" i="13"/>
  <c r="H26" i="13"/>
  <c r="G26" i="13"/>
  <c r="F26" i="13"/>
  <c r="E26" i="13"/>
  <c r="D26" i="13"/>
  <c r="I18" i="13"/>
  <c r="H18" i="13"/>
  <c r="G18" i="13"/>
  <c r="F18" i="13"/>
  <c r="E18" i="13"/>
  <c r="D18" i="13"/>
  <c r="G105" i="14"/>
  <c r="F105" i="14"/>
  <c r="I105" i="14"/>
  <c r="H105" i="14"/>
  <c r="E105" i="14"/>
  <c r="D105" i="14"/>
  <c r="I84" i="14"/>
  <c r="H84" i="14"/>
  <c r="G84" i="14"/>
  <c r="F84" i="14"/>
  <c r="E84" i="14"/>
  <c r="D84" i="14"/>
  <c r="I53" i="14"/>
  <c r="H53" i="14"/>
  <c r="G53" i="14"/>
  <c r="F53" i="14"/>
  <c r="E53" i="14"/>
  <c r="D53" i="14"/>
  <c r="I26" i="14"/>
  <c r="H26" i="14"/>
  <c r="G26" i="14"/>
  <c r="F26" i="14"/>
  <c r="E26" i="14"/>
  <c r="D26" i="14"/>
  <c r="I18" i="14"/>
  <c r="H18" i="14"/>
  <c r="G18" i="14"/>
  <c r="F18" i="14"/>
  <c r="E18" i="14"/>
  <c r="D18" i="14"/>
  <c r="I105" i="6"/>
  <c r="F105" i="6"/>
  <c r="E105" i="6"/>
  <c r="H105" i="6"/>
  <c r="G105" i="6"/>
  <c r="D105" i="6"/>
  <c r="F84" i="6"/>
  <c r="I84" i="6"/>
  <c r="H84" i="6"/>
  <c r="G84" i="6"/>
  <c r="E84" i="6"/>
  <c r="D84" i="6"/>
  <c r="I53" i="6"/>
  <c r="H53" i="6"/>
  <c r="G53" i="6"/>
  <c r="F53" i="6"/>
  <c r="E53" i="6"/>
  <c r="D53" i="6"/>
  <c r="I26" i="6"/>
  <c r="H26" i="6"/>
  <c r="G26" i="6"/>
  <c r="F26" i="6"/>
  <c r="E26" i="6"/>
  <c r="D26" i="6"/>
  <c r="I18" i="6"/>
  <c r="H18" i="6"/>
  <c r="G18" i="6"/>
  <c r="F18" i="6"/>
  <c r="E18" i="6"/>
  <c r="D18" i="6"/>
  <c r="I105" i="8"/>
  <c r="H105" i="8"/>
  <c r="G105" i="8"/>
  <c r="F105" i="8"/>
  <c r="E105" i="8"/>
  <c r="D105" i="8"/>
  <c r="I84" i="8"/>
  <c r="H84" i="8"/>
  <c r="G84" i="8"/>
  <c r="F84" i="8"/>
  <c r="E84" i="8"/>
  <c r="D84" i="8"/>
  <c r="I53" i="8"/>
  <c r="H53" i="8"/>
  <c r="G53" i="8"/>
  <c r="F53" i="8"/>
  <c r="E53" i="8"/>
  <c r="D53" i="8"/>
  <c r="I26" i="8"/>
  <c r="H26" i="8"/>
  <c r="G26" i="8"/>
  <c r="F26" i="8"/>
  <c r="E26" i="8"/>
  <c r="D26" i="8"/>
  <c r="I18" i="8"/>
  <c r="H18" i="8"/>
  <c r="G18" i="8"/>
  <c r="F18" i="8"/>
  <c r="E18" i="8"/>
  <c r="D18" i="8"/>
  <c r="I53" i="9"/>
  <c r="H53" i="9"/>
  <c r="G53" i="9"/>
  <c r="F53" i="9"/>
  <c r="E53" i="9"/>
  <c r="D53" i="9"/>
  <c r="I26" i="9"/>
  <c r="H26" i="9"/>
  <c r="G26" i="9"/>
  <c r="F26" i="9"/>
  <c r="E26" i="9"/>
  <c r="D26" i="9"/>
  <c r="I18" i="9"/>
  <c r="H18" i="9"/>
  <c r="G18" i="9"/>
  <c r="F18" i="9"/>
  <c r="E18" i="9"/>
  <c r="D18" i="9"/>
  <c r="G26" i="2"/>
  <c r="F26" i="2"/>
  <c r="G18" i="2"/>
  <c r="F18" i="2"/>
  <c r="E33" i="10" l="1"/>
  <c r="I33" i="10"/>
  <c r="H12" i="3"/>
  <c r="H18" i="3"/>
  <c r="H26" i="3"/>
  <c r="H32" i="3" s="1"/>
  <c r="D12" i="3"/>
  <c r="D32" i="3" s="1"/>
  <c r="D18" i="3"/>
  <c r="D26" i="3"/>
  <c r="E12" i="3"/>
  <c r="I12" i="3"/>
  <c r="E18" i="3"/>
  <c r="I18" i="3"/>
  <c r="E26" i="3"/>
  <c r="I26" i="3"/>
  <c r="G12" i="3"/>
  <c r="G18" i="3"/>
  <c r="H33" i="10"/>
  <c r="D33" i="10"/>
  <c r="F12" i="3"/>
  <c r="F18" i="3"/>
  <c r="F26" i="3"/>
  <c r="D53" i="3"/>
  <c r="H53" i="3"/>
  <c r="G26" i="3"/>
  <c r="E53" i="3"/>
  <c r="I53" i="3"/>
  <c r="F13" i="10"/>
  <c r="F19" i="10"/>
  <c r="H84" i="5"/>
  <c r="G53" i="3"/>
  <c r="G19" i="10"/>
  <c r="G33" i="10" s="1"/>
  <c r="I106" i="10"/>
  <c r="I106" i="11" s="1"/>
  <c r="F32" i="5"/>
  <c r="D32" i="5"/>
  <c r="H32" i="5"/>
  <c r="F32" i="16"/>
  <c r="F84" i="16"/>
  <c r="F105" i="3"/>
  <c r="E32" i="5"/>
  <c r="I32" i="5"/>
  <c r="F53" i="3"/>
  <c r="F84" i="9"/>
  <c r="F105" i="9"/>
  <c r="G84" i="9"/>
  <c r="G105" i="9"/>
  <c r="D84" i="9"/>
  <c r="D84" i="2"/>
  <c r="H84" i="9"/>
  <c r="H84" i="2"/>
  <c r="D105" i="9"/>
  <c r="D105" i="2"/>
  <c r="H105" i="9"/>
  <c r="H105" i="2"/>
  <c r="E84" i="9"/>
  <c r="E84" i="2"/>
  <c r="I84" i="9"/>
  <c r="I84" i="2"/>
  <c r="E105" i="9"/>
  <c r="E105" i="2"/>
  <c r="I105" i="9"/>
  <c r="I105" i="2"/>
  <c r="D105" i="3"/>
  <c r="H105" i="3"/>
  <c r="E105" i="3"/>
  <c r="I105" i="3"/>
  <c r="E32" i="16"/>
  <c r="I32" i="16"/>
  <c r="G32" i="16"/>
  <c r="H32" i="16"/>
  <c r="D32" i="16"/>
  <c r="G84" i="17"/>
  <c r="E84" i="17"/>
  <c r="I84" i="17"/>
  <c r="F84" i="17"/>
  <c r="H84" i="17"/>
  <c r="G105" i="3"/>
  <c r="G84" i="3"/>
  <c r="H84" i="3"/>
  <c r="E84" i="3"/>
  <c r="I84" i="3"/>
  <c r="D84" i="3"/>
  <c r="F84" i="3"/>
  <c r="F84" i="2"/>
  <c r="G84" i="2"/>
  <c r="D18" i="2"/>
  <c r="H18" i="2"/>
  <c r="D26" i="2"/>
  <c r="H26" i="2"/>
  <c r="D53" i="2"/>
  <c r="H53" i="2"/>
  <c r="F53" i="2"/>
  <c r="F105" i="2"/>
  <c r="E18" i="2"/>
  <c r="I18" i="2"/>
  <c r="E26" i="2"/>
  <c r="I26" i="2"/>
  <c r="E53" i="2"/>
  <c r="I53" i="2"/>
  <c r="G53" i="2"/>
  <c r="G105" i="2"/>
  <c r="E32" i="3" l="1"/>
  <c r="I32" i="3"/>
  <c r="F32" i="3"/>
  <c r="G32" i="3"/>
  <c r="F33" i="10"/>
  <c r="N84" i="16" l="1"/>
  <c r="P6" i="16"/>
  <c r="P7" i="16"/>
  <c r="P11" i="16"/>
  <c r="J12" i="16"/>
  <c r="K12" i="16"/>
  <c r="L12" i="16"/>
  <c r="M12" i="16"/>
  <c r="N12" i="16"/>
  <c r="O12" i="16"/>
  <c r="P14" i="16"/>
  <c r="P15" i="16"/>
  <c r="P16" i="16"/>
  <c r="P17" i="16"/>
  <c r="J18" i="16"/>
  <c r="K18" i="16"/>
  <c r="L18" i="16"/>
  <c r="M18" i="16"/>
  <c r="N18" i="16"/>
  <c r="O18" i="16"/>
  <c r="J26" i="16"/>
  <c r="P28" i="16"/>
  <c r="P29" i="16"/>
  <c r="P30" i="16"/>
  <c r="P31" i="16"/>
  <c r="L32" i="16"/>
  <c r="P38" i="16"/>
  <c r="P42" i="16"/>
  <c r="P45" i="16"/>
  <c r="P46" i="16"/>
  <c r="P47" i="16"/>
  <c r="P48" i="16"/>
  <c r="P49" i="16"/>
  <c r="P51" i="16"/>
  <c r="P52" i="16"/>
  <c r="J53" i="16"/>
  <c r="K53" i="16"/>
  <c r="L53" i="16"/>
  <c r="M53" i="16"/>
  <c r="N53" i="16"/>
  <c r="O53" i="16"/>
  <c r="P63" i="16"/>
  <c r="P64" i="16"/>
  <c r="P67" i="16"/>
  <c r="P71" i="16"/>
  <c r="P72" i="16"/>
  <c r="P73" i="16"/>
  <c r="P75" i="16"/>
  <c r="P77" i="16"/>
  <c r="P79" i="16"/>
  <c r="P80" i="16"/>
  <c r="P81" i="16"/>
  <c r="P82" i="16"/>
  <c r="P83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J105" i="16"/>
  <c r="K105" i="16"/>
  <c r="L105" i="16"/>
  <c r="M105" i="16"/>
  <c r="N105" i="16"/>
  <c r="O105" i="16"/>
  <c r="M32" i="16" l="1"/>
  <c r="O32" i="16"/>
  <c r="K32" i="16"/>
  <c r="N32" i="16"/>
  <c r="P12" i="16"/>
  <c r="J32" i="16"/>
  <c r="P53" i="16"/>
  <c r="Q53" i="16" s="1"/>
  <c r="P18" i="16"/>
  <c r="Q18" i="16" s="1"/>
  <c r="P105" i="16"/>
  <c r="Q26" i="16"/>
  <c r="O84" i="16"/>
  <c r="K84" i="16"/>
  <c r="P65" i="16"/>
  <c r="L84" i="16"/>
  <c r="J84" i="16"/>
  <c r="M84" i="16"/>
  <c r="Q105" i="16"/>
  <c r="Q12" i="16"/>
  <c r="C42" i="21"/>
  <c r="P32" i="16" l="1"/>
  <c r="Q32" i="16" s="1"/>
  <c r="P84" i="16"/>
  <c r="R9" i="6"/>
  <c r="M108" i="1" l="1"/>
  <c r="O89" i="3"/>
  <c r="N89" i="3"/>
  <c r="M89" i="3"/>
  <c r="L89" i="3"/>
  <c r="K89" i="3"/>
  <c r="J89" i="3"/>
  <c r="G7" i="7" l="1"/>
  <c r="J17" i="1" l="1"/>
  <c r="J16" i="1"/>
  <c r="O42" i="3"/>
  <c r="N42" i="3"/>
  <c r="M42" i="3"/>
  <c r="L42" i="3"/>
  <c r="K42" i="3"/>
  <c r="J42" i="3"/>
  <c r="O104" i="3" l="1"/>
  <c r="N104" i="3"/>
  <c r="M104" i="3"/>
  <c r="L104" i="3"/>
  <c r="K104" i="3"/>
  <c r="J104" i="3"/>
  <c r="O103" i="3"/>
  <c r="N103" i="3"/>
  <c r="M103" i="3"/>
  <c r="L103" i="3"/>
  <c r="K103" i="3"/>
  <c r="J103" i="3"/>
  <c r="O102" i="3"/>
  <c r="N102" i="3"/>
  <c r="M102" i="3"/>
  <c r="L102" i="3"/>
  <c r="K102" i="3"/>
  <c r="J102" i="3"/>
  <c r="O101" i="3"/>
  <c r="N101" i="3"/>
  <c r="M101" i="3"/>
  <c r="L101" i="3"/>
  <c r="K101" i="3"/>
  <c r="J101" i="3"/>
  <c r="O100" i="3"/>
  <c r="N100" i="3"/>
  <c r="M100" i="3"/>
  <c r="L100" i="3"/>
  <c r="K100" i="3"/>
  <c r="J100" i="3"/>
  <c r="O99" i="3"/>
  <c r="N99" i="3"/>
  <c r="M99" i="3"/>
  <c r="L99" i="3"/>
  <c r="K99" i="3"/>
  <c r="J99" i="3"/>
  <c r="O98" i="3"/>
  <c r="N98" i="3"/>
  <c r="M98" i="3"/>
  <c r="L98" i="3"/>
  <c r="K98" i="3"/>
  <c r="J98" i="3"/>
  <c r="O97" i="3"/>
  <c r="N97" i="3"/>
  <c r="M97" i="3"/>
  <c r="L97" i="3"/>
  <c r="K97" i="3"/>
  <c r="J97" i="3"/>
  <c r="O96" i="3"/>
  <c r="N96" i="3"/>
  <c r="M96" i="3"/>
  <c r="L96" i="3"/>
  <c r="K96" i="3"/>
  <c r="J96" i="3"/>
  <c r="O95" i="3"/>
  <c r="N95" i="3"/>
  <c r="M95" i="3"/>
  <c r="L95" i="3"/>
  <c r="K95" i="3"/>
  <c r="J95" i="3"/>
  <c r="O94" i="3"/>
  <c r="N94" i="3"/>
  <c r="M94" i="3"/>
  <c r="L94" i="3"/>
  <c r="K94" i="3"/>
  <c r="J94" i="3"/>
  <c r="O93" i="3"/>
  <c r="N93" i="3"/>
  <c r="M93" i="3"/>
  <c r="L93" i="3"/>
  <c r="K93" i="3"/>
  <c r="J93" i="3"/>
  <c r="O92" i="3"/>
  <c r="N92" i="3"/>
  <c r="M92" i="3"/>
  <c r="L92" i="3"/>
  <c r="K92" i="3"/>
  <c r="J92" i="3"/>
  <c r="O91" i="3"/>
  <c r="N91" i="3"/>
  <c r="M91" i="3"/>
  <c r="L91" i="3"/>
  <c r="K91" i="3"/>
  <c r="J91" i="3"/>
  <c r="O90" i="3"/>
  <c r="N90" i="3"/>
  <c r="M90" i="3"/>
  <c r="L90" i="3"/>
  <c r="K90" i="3"/>
  <c r="J90" i="3"/>
  <c r="O88" i="3"/>
  <c r="N88" i="3"/>
  <c r="M88" i="3"/>
  <c r="L88" i="3"/>
  <c r="K88" i="3"/>
  <c r="J88" i="3"/>
  <c r="O87" i="3"/>
  <c r="N87" i="3"/>
  <c r="M87" i="3"/>
  <c r="L87" i="3"/>
  <c r="K87" i="3"/>
  <c r="J87" i="3"/>
  <c r="O86" i="3"/>
  <c r="N86" i="3"/>
  <c r="M86" i="3"/>
  <c r="L86" i="3"/>
  <c r="K86" i="3"/>
  <c r="J86" i="3"/>
  <c r="O83" i="3"/>
  <c r="N83" i="3"/>
  <c r="M83" i="3"/>
  <c r="L83" i="3"/>
  <c r="K83" i="3"/>
  <c r="J83" i="3"/>
  <c r="O82" i="3"/>
  <c r="N82" i="3"/>
  <c r="M82" i="3"/>
  <c r="L82" i="3"/>
  <c r="K82" i="3"/>
  <c r="J82" i="3"/>
  <c r="O81" i="3"/>
  <c r="N81" i="3"/>
  <c r="M81" i="3"/>
  <c r="L81" i="3"/>
  <c r="K81" i="3"/>
  <c r="J81" i="3"/>
  <c r="O80" i="3"/>
  <c r="N80" i="3"/>
  <c r="M80" i="3"/>
  <c r="L80" i="3"/>
  <c r="K80" i="3"/>
  <c r="J80" i="3"/>
  <c r="O79" i="3"/>
  <c r="N79" i="3"/>
  <c r="M79" i="3"/>
  <c r="L79" i="3"/>
  <c r="K79" i="3"/>
  <c r="J79" i="3"/>
  <c r="O78" i="3"/>
  <c r="N78" i="3"/>
  <c r="M78" i="3"/>
  <c r="L78" i="3"/>
  <c r="K78" i="3"/>
  <c r="J78" i="3"/>
  <c r="O77" i="3"/>
  <c r="N77" i="3"/>
  <c r="M77" i="3"/>
  <c r="L77" i="3"/>
  <c r="K77" i="3"/>
  <c r="J77" i="3"/>
  <c r="O76" i="3"/>
  <c r="N76" i="3"/>
  <c r="M76" i="3"/>
  <c r="L76" i="3"/>
  <c r="K76" i="3"/>
  <c r="J76" i="3"/>
  <c r="O75" i="3"/>
  <c r="N75" i="3"/>
  <c r="M75" i="3"/>
  <c r="L75" i="3"/>
  <c r="K75" i="3"/>
  <c r="J75" i="3"/>
  <c r="O74" i="3"/>
  <c r="N74" i="3"/>
  <c r="M74" i="3"/>
  <c r="L74" i="3"/>
  <c r="K74" i="3"/>
  <c r="J74" i="3"/>
  <c r="O73" i="3"/>
  <c r="N73" i="3"/>
  <c r="M73" i="3"/>
  <c r="L73" i="3"/>
  <c r="K73" i="3"/>
  <c r="J73" i="3"/>
  <c r="O71" i="3"/>
  <c r="N71" i="3"/>
  <c r="M71" i="3"/>
  <c r="L71" i="3"/>
  <c r="K71" i="3"/>
  <c r="J71" i="3"/>
  <c r="O70" i="3"/>
  <c r="N70" i="3"/>
  <c r="M70" i="3"/>
  <c r="L70" i="3"/>
  <c r="K70" i="3"/>
  <c r="J70" i="3"/>
  <c r="O67" i="3"/>
  <c r="N67" i="3"/>
  <c r="M67" i="3"/>
  <c r="L67" i="3"/>
  <c r="K67" i="3"/>
  <c r="J67" i="3"/>
  <c r="O66" i="3"/>
  <c r="N66" i="3"/>
  <c r="M66" i="3"/>
  <c r="L66" i="3"/>
  <c r="K66" i="3"/>
  <c r="J66" i="3"/>
  <c r="O65" i="3"/>
  <c r="N65" i="3"/>
  <c r="M65" i="3"/>
  <c r="L65" i="3"/>
  <c r="K65" i="3"/>
  <c r="J65" i="3"/>
  <c r="O64" i="3"/>
  <c r="N64" i="3"/>
  <c r="M64" i="3"/>
  <c r="L64" i="3"/>
  <c r="K64" i="3"/>
  <c r="J64" i="3"/>
  <c r="O63" i="3"/>
  <c r="N63" i="3"/>
  <c r="M63" i="3"/>
  <c r="L63" i="3"/>
  <c r="K63" i="3"/>
  <c r="J63" i="3"/>
  <c r="O62" i="3"/>
  <c r="N62" i="3"/>
  <c r="M62" i="3"/>
  <c r="L62" i="3"/>
  <c r="K62" i="3"/>
  <c r="J62" i="3"/>
  <c r="O61" i="3"/>
  <c r="N61" i="3"/>
  <c r="M61" i="3"/>
  <c r="L61" i="3"/>
  <c r="K61" i="3"/>
  <c r="J61" i="3"/>
  <c r="O60" i="3"/>
  <c r="N60" i="3"/>
  <c r="M60" i="3"/>
  <c r="L60" i="3"/>
  <c r="K60" i="3"/>
  <c r="J60" i="3"/>
  <c r="O59" i="3"/>
  <c r="N59" i="3"/>
  <c r="M59" i="3"/>
  <c r="L59" i="3"/>
  <c r="K59" i="3"/>
  <c r="J59" i="3"/>
  <c r="O57" i="3"/>
  <c r="N57" i="3"/>
  <c r="M57" i="3"/>
  <c r="L57" i="3"/>
  <c r="K57" i="3"/>
  <c r="J57" i="3"/>
  <c r="O56" i="3"/>
  <c r="N56" i="3"/>
  <c r="M56" i="3"/>
  <c r="L56" i="3"/>
  <c r="K56" i="3"/>
  <c r="J56" i="3"/>
  <c r="O55" i="3"/>
  <c r="N55" i="3"/>
  <c r="M55" i="3"/>
  <c r="L55" i="3"/>
  <c r="K55" i="3"/>
  <c r="J55" i="3"/>
  <c r="O52" i="3"/>
  <c r="N52" i="3"/>
  <c r="M52" i="3"/>
  <c r="L52" i="3"/>
  <c r="K52" i="3"/>
  <c r="J52" i="3"/>
  <c r="O51" i="3"/>
  <c r="N51" i="3"/>
  <c r="M51" i="3"/>
  <c r="L51" i="3"/>
  <c r="K51" i="3"/>
  <c r="J51" i="3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O46" i="3"/>
  <c r="N46" i="3"/>
  <c r="M46" i="3"/>
  <c r="L46" i="3"/>
  <c r="K46" i="3"/>
  <c r="J46" i="3"/>
  <c r="O45" i="3"/>
  <c r="N45" i="3"/>
  <c r="M45" i="3"/>
  <c r="L45" i="3"/>
  <c r="K45" i="3"/>
  <c r="J45" i="3"/>
  <c r="O11" i="3"/>
  <c r="N11" i="3"/>
  <c r="M11" i="3"/>
  <c r="L11" i="3"/>
  <c r="K11" i="3"/>
  <c r="J11" i="3"/>
  <c r="O9" i="3"/>
  <c r="N9" i="3"/>
  <c r="M9" i="3"/>
  <c r="L9" i="3"/>
  <c r="K9" i="3"/>
  <c r="J9" i="3"/>
  <c r="O7" i="3"/>
  <c r="N7" i="3"/>
  <c r="M7" i="3"/>
  <c r="L7" i="3"/>
  <c r="K7" i="3"/>
  <c r="J7" i="3"/>
  <c r="O6" i="3"/>
  <c r="N6" i="3"/>
  <c r="M6" i="3"/>
  <c r="L6" i="3"/>
  <c r="K6" i="3"/>
  <c r="J6" i="3"/>
  <c r="O17" i="3"/>
  <c r="N17" i="3"/>
  <c r="M17" i="3"/>
  <c r="L17" i="3"/>
  <c r="K17" i="3"/>
  <c r="J17" i="3"/>
  <c r="O16" i="3"/>
  <c r="N16" i="3"/>
  <c r="M16" i="3"/>
  <c r="L16" i="3"/>
  <c r="K16" i="3"/>
  <c r="J16" i="3"/>
  <c r="O15" i="3"/>
  <c r="N15" i="3"/>
  <c r="M15" i="3"/>
  <c r="L15" i="3"/>
  <c r="K15" i="3"/>
  <c r="J15" i="3"/>
  <c r="O14" i="3"/>
  <c r="N14" i="3"/>
  <c r="M14" i="3"/>
  <c r="L14" i="3"/>
  <c r="K14" i="3"/>
  <c r="J14" i="3"/>
  <c r="O25" i="3"/>
  <c r="N25" i="3"/>
  <c r="M25" i="3"/>
  <c r="L25" i="3"/>
  <c r="K25" i="3"/>
  <c r="J25" i="3"/>
  <c r="O24" i="3"/>
  <c r="N24" i="3"/>
  <c r="M24" i="3"/>
  <c r="L24" i="3"/>
  <c r="K24" i="3"/>
  <c r="J24" i="3"/>
  <c r="O23" i="3"/>
  <c r="N23" i="3"/>
  <c r="M23" i="3"/>
  <c r="L23" i="3"/>
  <c r="K23" i="3"/>
  <c r="J23" i="3"/>
  <c r="O22" i="3"/>
  <c r="N22" i="3"/>
  <c r="M22" i="3"/>
  <c r="L22" i="3"/>
  <c r="K22" i="3"/>
  <c r="J22" i="3"/>
  <c r="O21" i="3"/>
  <c r="N21" i="3"/>
  <c r="M21" i="3"/>
  <c r="L21" i="3"/>
  <c r="K21" i="3"/>
  <c r="J21" i="3"/>
  <c r="O20" i="3"/>
  <c r="N20" i="3"/>
  <c r="M20" i="3"/>
  <c r="L20" i="3"/>
  <c r="K20" i="3"/>
  <c r="J20" i="3"/>
  <c r="O31" i="3"/>
  <c r="N31" i="3"/>
  <c r="M31" i="3"/>
  <c r="L31" i="3"/>
  <c r="K31" i="3"/>
  <c r="J31" i="3"/>
  <c r="O30" i="3"/>
  <c r="N30" i="3"/>
  <c r="M30" i="3"/>
  <c r="L30" i="3"/>
  <c r="K30" i="3"/>
  <c r="J30" i="3"/>
  <c r="O29" i="3"/>
  <c r="N29" i="3"/>
  <c r="M29" i="3"/>
  <c r="L29" i="3"/>
  <c r="K29" i="3"/>
  <c r="J29" i="3"/>
  <c r="O28" i="3"/>
  <c r="N28" i="3"/>
  <c r="M28" i="3"/>
  <c r="L28" i="3"/>
  <c r="K28" i="3"/>
  <c r="J28" i="3"/>
  <c r="O105" i="23"/>
  <c r="N105" i="23"/>
  <c r="M105" i="23"/>
  <c r="L105" i="23"/>
  <c r="K105" i="23"/>
  <c r="J105" i="23"/>
  <c r="I105" i="23"/>
  <c r="H105" i="23"/>
  <c r="G105" i="23"/>
  <c r="F105" i="23"/>
  <c r="E105" i="23"/>
  <c r="D105" i="23"/>
  <c r="P104" i="23"/>
  <c r="P103" i="23"/>
  <c r="P102" i="23"/>
  <c r="P101" i="23"/>
  <c r="P100" i="23"/>
  <c r="P99" i="23"/>
  <c r="P98" i="23"/>
  <c r="P97" i="23"/>
  <c r="P96" i="23"/>
  <c r="P95" i="23"/>
  <c r="P94" i="23"/>
  <c r="P93" i="23"/>
  <c r="P92" i="23"/>
  <c r="P91" i="23"/>
  <c r="P90" i="23"/>
  <c r="P89" i="23"/>
  <c r="P88" i="23"/>
  <c r="P87" i="23"/>
  <c r="P86" i="23"/>
  <c r="O84" i="23"/>
  <c r="N84" i="23"/>
  <c r="M84" i="23"/>
  <c r="L84" i="23"/>
  <c r="K84" i="23"/>
  <c r="J84" i="23"/>
  <c r="I84" i="23"/>
  <c r="H84" i="23"/>
  <c r="G84" i="23"/>
  <c r="F84" i="23"/>
  <c r="E84" i="23"/>
  <c r="D84" i="23"/>
  <c r="P83" i="23"/>
  <c r="P82" i="23"/>
  <c r="P81" i="23"/>
  <c r="P80" i="23"/>
  <c r="P79" i="23"/>
  <c r="P77" i="23"/>
  <c r="P76" i="23"/>
  <c r="P75" i="23"/>
  <c r="P74" i="23"/>
  <c r="P72" i="23"/>
  <c r="P71" i="23"/>
  <c r="P70" i="23"/>
  <c r="P69" i="23"/>
  <c r="P68" i="23"/>
  <c r="P67" i="23"/>
  <c r="P66" i="23"/>
  <c r="P65" i="23"/>
  <c r="P64" i="23"/>
  <c r="P63" i="23"/>
  <c r="P62" i="23"/>
  <c r="P61" i="23"/>
  <c r="P60" i="23"/>
  <c r="P59" i="23"/>
  <c r="P58" i="23"/>
  <c r="P57" i="23"/>
  <c r="P56" i="23"/>
  <c r="P55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P52" i="23"/>
  <c r="P51" i="23"/>
  <c r="P49" i="23"/>
  <c r="P48" i="23"/>
  <c r="P47" i="23"/>
  <c r="P46" i="23"/>
  <c r="P45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P42" i="23"/>
  <c r="P41" i="23"/>
  <c r="P40" i="23"/>
  <c r="P39" i="23"/>
  <c r="P38" i="23"/>
  <c r="P37" i="23"/>
  <c r="P36" i="23"/>
  <c r="P35" i="23"/>
  <c r="P31" i="23"/>
  <c r="P30" i="23"/>
  <c r="P29" i="23"/>
  <c r="P28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P25" i="23"/>
  <c r="P24" i="23"/>
  <c r="P23" i="23"/>
  <c r="P22" i="23"/>
  <c r="P21" i="23"/>
  <c r="P20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P17" i="23"/>
  <c r="P16" i="23"/>
  <c r="P15" i="23"/>
  <c r="P14" i="23"/>
  <c r="P18" i="23" s="1"/>
  <c r="Q18" i="23" s="1"/>
  <c r="O12" i="23"/>
  <c r="O32" i="23" s="1"/>
  <c r="N12" i="23"/>
  <c r="M12" i="23"/>
  <c r="M32" i="23" s="1"/>
  <c r="L12" i="23"/>
  <c r="L32" i="23" s="1"/>
  <c r="K12" i="23"/>
  <c r="K32" i="23" s="1"/>
  <c r="J12" i="23"/>
  <c r="I12" i="23"/>
  <c r="I32" i="23" s="1"/>
  <c r="H12" i="23"/>
  <c r="H32" i="23" s="1"/>
  <c r="G12" i="23"/>
  <c r="G32" i="23" s="1"/>
  <c r="F12" i="23"/>
  <c r="E12" i="23"/>
  <c r="E32" i="23" s="1"/>
  <c r="D12" i="23"/>
  <c r="D32" i="23" s="1"/>
  <c r="P11" i="23"/>
  <c r="P9" i="23"/>
  <c r="P7" i="23"/>
  <c r="P6" i="23"/>
  <c r="P12" i="23" s="1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P104" i="24"/>
  <c r="P103" i="24"/>
  <c r="P102" i="24"/>
  <c r="P101" i="24"/>
  <c r="P100" i="24"/>
  <c r="P99" i="24"/>
  <c r="P98" i="24"/>
  <c r="P97" i="24"/>
  <c r="P96" i="24"/>
  <c r="P95" i="24"/>
  <c r="P94" i="24"/>
  <c r="P93" i="24"/>
  <c r="P92" i="24"/>
  <c r="P91" i="24"/>
  <c r="P90" i="24"/>
  <c r="P89" i="24"/>
  <c r="P88" i="24"/>
  <c r="P87" i="24"/>
  <c r="P86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P83" i="24"/>
  <c r="P82" i="24"/>
  <c r="P81" i="24"/>
  <c r="P80" i="24"/>
  <c r="P79" i="24"/>
  <c r="P78" i="24"/>
  <c r="P77" i="24"/>
  <c r="P76" i="24"/>
  <c r="P75" i="24"/>
  <c r="P74" i="24"/>
  <c r="P73" i="24"/>
  <c r="P72" i="24"/>
  <c r="P71" i="24"/>
  <c r="P70" i="24"/>
  <c r="P69" i="24"/>
  <c r="P68" i="24"/>
  <c r="P67" i="24"/>
  <c r="P66" i="24"/>
  <c r="P65" i="24"/>
  <c r="P64" i="24"/>
  <c r="P63" i="24"/>
  <c r="P62" i="24"/>
  <c r="P61" i="24"/>
  <c r="P60" i="24"/>
  <c r="P59" i="24"/>
  <c r="P58" i="24"/>
  <c r="P57" i="24"/>
  <c r="P56" i="24"/>
  <c r="P55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P52" i="24"/>
  <c r="P51" i="24"/>
  <c r="P49" i="24"/>
  <c r="P48" i="24"/>
  <c r="P47" i="24"/>
  <c r="P46" i="24"/>
  <c r="P45" i="24"/>
  <c r="I43" i="24"/>
  <c r="H43" i="24"/>
  <c r="G43" i="24"/>
  <c r="F43" i="24"/>
  <c r="E43" i="24"/>
  <c r="D43" i="24"/>
  <c r="P42" i="24"/>
  <c r="P41" i="24"/>
  <c r="P40" i="24"/>
  <c r="P39" i="24"/>
  <c r="P38" i="24"/>
  <c r="P37" i="24"/>
  <c r="P36" i="24"/>
  <c r="O43" i="24"/>
  <c r="N43" i="24"/>
  <c r="M43" i="24"/>
  <c r="L43" i="24"/>
  <c r="K43" i="24"/>
  <c r="P35" i="24"/>
  <c r="P31" i="24"/>
  <c r="P30" i="24"/>
  <c r="P29" i="24"/>
  <c r="P28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P25" i="24"/>
  <c r="P24" i="24"/>
  <c r="P23" i="24"/>
  <c r="P22" i="24"/>
  <c r="P21" i="24"/>
  <c r="P20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P17" i="24"/>
  <c r="P16" i="24"/>
  <c r="P15" i="24"/>
  <c r="P14" i="24"/>
  <c r="O12" i="24"/>
  <c r="N12" i="24"/>
  <c r="M12" i="24"/>
  <c r="L12" i="24"/>
  <c r="L32" i="24" s="1"/>
  <c r="K12" i="24"/>
  <c r="J12" i="24"/>
  <c r="I12" i="24"/>
  <c r="H12" i="24"/>
  <c r="H32" i="24" s="1"/>
  <c r="G12" i="24"/>
  <c r="F12" i="24"/>
  <c r="E12" i="24"/>
  <c r="D12" i="24"/>
  <c r="D32" i="24" s="1"/>
  <c r="P11" i="24"/>
  <c r="P9" i="24"/>
  <c r="P7" i="24"/>
  <c r="P6" i="24"/>
  <c r="O105" i="25"/>
  <c r="N105" i="25"/>
  <c r="M105" i="25"/>
  <c r="L105" i="25"/>
  <c r="K105" i="25"/>
  <c r="J105" i="25"/>
  <c r="I105" i="25"/>
  <c r="H105" i="25"/>
  <c r="G105" i="25"/>
  <c r="F105" i="25"/>
  <c r="E105" i="25"/>
  <c r="D105" i="25"/>
  <c r="P104" i="25"/>
  <c r="P103" i="25"/>
  <c r="P102" i="25"/>
  <c r="P101" i="25"/>
  <c r="P100" i="25"/>
  <c r="P99" i="25"/>
  <c r="P98" i="25"/>
  <c r="P97" i="25"/>
  <c r="P96" i="25"/>
  <c r="P95" i="25"/>
  <c r="P94" i="25"/>
  <c r="P93" i="25"/>
  <c r="P92" i="25"/>
  <c r="P91" i="25"/>
  <c r="P90" i="25"/>
  <c r="P89" i="25"/>
  <c r="P88" i="25"/>
  <c r="P87" i="25"/>
  <c r="P86" i="25"/>
  <c r="O84" i="25"/>
  <c r="N84" i="25"/>
  <c r="M84" i="25"/>
  <c r="L84" i="25"/>
  <c r="K84" i="25"/>
  <c r="J84" i="25"/>
  <c r="I84" i="25"/>
  <c r="H84" i="25"/>
  <c r="G84" i="25"/>
  <c r="F84" i="25"/>
  <c r="E84" i="25"/>
  <c r="D84" i="25"/>
  <c r="P83" i="25"/>
  <c r="P82" i="25"/>
  <c r="P81" i="25"/>
  <c r="P80" i="25"/>
  <c r="P79" i="25"/>
  <c r="P78" i="25"/>
  <c r="P77" i="25"/>
  <c r="P76" i="25"/>
  <c r="P75" i="25"/>
  <c r="P74" i="25"/>
  <c r="P73" i="25"/>
  <c r="P72" i="25"/>
  <c r="P71" i="25"/>
  <c r="P70" i="25"/>
  <c r="P69" i="25"/>
  <c r="P68" i="25"/>
  <c r="P67" i="25"/>
  <c r="P66" i="25"/>
  <c r="P65" i="25"/>
  <c r="P64" i="25"/>
  <c r="P63" i="25"/>
  <c r="P62" i="25"/>
  <c r="P61" i="25"/>
  <c r="P60" i="25"/>
  <c r="P59" i="25"/>
  <c r="P58" i="25"/>
  <c r="P57" i="25"/>
  <c r="P56" i="25"/>
  <c r="P55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P52" i="25"/>
  <c r="P51" i="25"/>
  <c r="P49" i="25"/>
  <c r="P48" i="25"/>
  <c r="P47" i="25"/>
  <c r="P46" i="25"/>
  <c r="P45" i="25"/>
  <c r="P42" i="25"/>
  <c r="P31" i="25"/>
  <c r="P30" i="25"/>
  <c r="P29" i="25"/>
  <c r="P28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P25" i="25"/>
  <c r="P24" i="25"/>
  <c r="P23" i="25"/>
  <c r="P22" i="25"/>
  <c r="P21" i="25"/>
  <c r="P20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P17" i="25"/>
  <c r="P16" i="25"/>
  <c r="P15" i="25"/>
  <c r="P14" i="25"/>
  <c r="O12" i="25"/>
  <c r="O32" i="25" s="1"/>
  <c r="N12" i="25"/>
  <c r="N32" i="25" s="1"/>
  <c r="M12" i="25"/>
  <c r="L12" i="25"/>
  <c r="K12" i="25"/>
  <c r="K32" i="25" s="1"/>
  <c r="J12" i="25"/>
  <c r="J32" i="25" s="1"/>
  <c r="I12" i="25"/>
  <c r="H12" i="25"/>
  <c r="G12" i="25"/>
  <c r="G32" i="25" s="1"/>
  <c r="F12" i="25"/>
  <c r="F32" i="25" s="1"/>
  <c r="E12" i="25"/>
  <c r="D12" i="25"/>
  <c r="P11" i="25"/>
  <c r="P9" i="25"/>
  <c r="P7" i="25"/>
  <c r="P6" i="25"/>
  <c r="G32" i="24" l="1"/>
  <c r="K32" i="24"/>
  <c r="O32" i="24"/>
  <c r="Q43" i="23"/>
  <c r="P53" i="23"/>
  <c r="Q53" i="23" s="1"/>
  <c r="P18" i="24"/>
  <c r="Q18" i="24" s="1"/>
  <c r="P12" i="25"/>
  <c r="Q12" i="25" s="1"/>
  <c r="L32" i="25"/>
  <c r="E32" i="24"/>
  <c r="M32" i="24"/>
  <c r="E106" i="24"/>
  <c r="I106" i="24"/>
  <c r="P26" i="23"/>
  <c r="Q26" i="23" s="1"/>
  <c r="L106" i="23"/>
  <c r="L109" i="23" s="1"/>
  <c r="E106" i="23"/>
  <c r="E109" i="23" s="1"/>
  <c r="I106" i="23"/>
  <c r="I109" i="23" s="1"/>
  <c r="M106" i="23"/>
  <c r="M109" i="23" s="1"/>
  <c r="P105" i="23"/>
  <c r="P53" i="25"/>
  <c r="Q53" i="25" s="1"/>
  <c r="P12" i="24"/>
  <c r="Q12" i="24" s="1"/>
  <c r="P26" i="24"/>
  <c r="Q26" i="24" s="1"/>
  <c r="D32" i="25"/>
  <c r="H32" i="25"/>
  <c r="P18" i="25"/>
  <c r="Q18" i="25" s="1"/>
  <c r="I32" i="24"/>
  <c r="E32" i="25"/>
  <c r="I32" i="25"/>
  <c r="M32" i="25"/>
  <c r="P26" i="25"/>
  <c r="Q26" i="25" s="1"/>
  <c r="F32" i="24"/>
  <c r="J32" i="24"/>
  <c r="N32" i="24"/>
  <c r="P53" i="24"/>
  <c r="Q53" i="24" s="1"/>
  <c r="P105" i="24"/>
  <c r="F106" i="24"/>
  <c r="F32" i="23"/>
  <c r="J32" i="23"/>
  <c r="N32" i="23"/>
  <c r="P43" i="23"/>
  <c r="H106" i="23"/>
  <c r="H109" i="23" s="1"/>
  <c r="D106" i="23"/>
  <c r="D109" i="23" s="1"/>
  <c r="F106" i="23"/>
  <c r="F109" i="23" s="1"/>
  <c r="G106" i="23"/>
  <c r="G109" i="23" s="1"/>
  <c r="G106" i="24"/>
  <c r="G109" i="24" s="1"/>
  <c r="D106" i="24"/>
  <c r="D109" i="24" s="1"/>
  <c r="H106" i="24"/>
  <c r="H109" i="24" s="1"/>
  <c r="K106" i="23"/>
  <c r="K109" i="23" s="1"/>
  <c r="O106" i="23"/>
  <c r="O109" i="23" s="1"/>
  <c r="N106" i="23"/>
  <c r="P84" i="23"/>
  <c r="Q84" i="23" s="1"/>
  <c r="J106" i="23"/>
  <c r="J109" i="23" s="1"/>
  <c r="P84" i="24"/>
  <c r="Q84" i="24" s="1"/>
  <c r="P84" i="25"/>
  <c r="Q84" i="25" s="1"/>
  <c r="P105" i="25"/>
  <c r="Q105" i="25" s="1"/>
  <c r="Q105" i="23"/>
  <c r="P32" i="23"/>
  <c r="Q12" i="23"/>
  <c r="L106" i="24"/>
  <c r="L109" i="24" s="1"/>
  <c r="M106" i="24"/>
  <c r="M109" i="24" s="1"/>
  <c r="P43" i="24"/>
  <c r="Q43" i="24"/>
  <c r="Q105" i="24"/>
  <c r="N106" i="24"/>
  <c r="K106" i="24"/>
  <c r="K109" i="24" s="1"/>
  <c r="O106" i="24"/>
  <c r="O109" i="24" s="1"/>
  <c r="J43" i="24"/>
  <c r="J106" i="24" s="1"/>
  <c r="P32" i="25"/>
  <c r="N109" i="24" l="1"/>
  <c r="I109" i="24"/>
  <c r="E109" i="24"/>
  <c r="J109" i="24"/>
  <c r="F109" i="24"/>
  <c r="P32" i="24"/>
  <c r="Q32" i="24" s="1"/>
  <c r="N109" i="23"/>
  <c r="P106" i="23"/>
  <c r="P109" i="23" s="1"/>
  <c r="P106" i="24"/>
  <c r="Q32" i="23"/>
  <c r="Q32" i="25"/>
  <c r="P109" i="24" l="1"/>
  <c r="P39" i="14"/>
  <c r="O36" i="2"/>
  <c r="O39" i="3"/>
  <c r="O37" i="3"/>
  <c r="K39" i="3"/>
  <c r="K37" i="3"/>
  <c r="N39" i="3"/>
  <c r="N37" i="3"/>
  <c r="M39" i="3"/>
  <c r="M37" i="3"/>
  <c r="L39" i="3"/>
  <c r="L37" i="3"/>
  <c r="K41" i="3"/>
  <c r="K40" i="3"/>
  <c r="H36" i="2"/>
  <c r="F36" i="2"/>
  <c r="N41" i="3"/>
  <c r="N40" i="3"/>
  <c r="M40" i="3"/>
  <c r="M41" i="3"/>
  <c r="E36" i="2"/>
  <c r="L41" i="3"/>
  <c r="L40" i="3"/>
  <c r="I36" i="2"/>
  <c r="I35" i="7"/>
  <c r="O41" i="3"/>
  <c r="O40" i="3"/>
  <c r="G36" i="2"/>
  <c r="K36" i="3"/>
  <c r="N36" i="2"/>
  <c r="K36" i="2"/>
  <c r="L36" i="2"/>
  <c r="N36" i="3"/>
  <c r="M36" i="3"/>
  <c r="O36" i="3"/>
  <c r="L36" i="3"/>
  <c r="J36" i="2"/>
  <c r="L35" i="3"/>
  <c r="N35" i="3"/>
  <c r="O35" i="3"/>
  <c r="K35" i="3"/>
  <c r="M35" i="3"/>
  <c r="G108" i="1"/>
  <c r="G19" i="1"/>
  <c r="F108" i="1"/>
  <c r="F19" i="1"/>
  <c r="I12" i="13"/>
  <c r="I32" i="13" s="1"/>
  <c r="H12" i="13"/>
  <c r="H32" i="13" s="1"/>
  <c r="F12" i="13"/>
  <c r="F32" i="13" s="1"/>
  <c r="E12" i="13"/>
  <c r="E32" i="13" s="1"/>
  <c r="X37" i="21"/>
  <c r="W37" i="21"/>
  <c r="V37" i="21"/>
  <c r="U37" i="21"/>
  <c r="T37" i="21"/>
  <c r="S37" i="21"/>
  <c r="R37" i="21"/>
  <c r="Q37" i="21"/>
  <c r="P37" i="21"/>
  <c r="O37" i="21"/>
  <c r="N37" i="21"/>
  <c r="M37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X25" i="21"/>
  <c r="W25" i="21"/>
  <c r="V25" i="21"/>
  <c r="U25" i="21"/>
  <c r="T25" i="21"/>
  <c r="S25" i="21"/>
  <c r="S42" i="21" s="1"/>
  <c r="J6" i="8" s="1"/>
  <c r="R25" i="21"/>
  <c r="Q25" i="21"/>
  <c r="P25" i="21"/>
  <c r="O25" i="21"/>
  <c r="N25" i="21"/>
  <c r="M25" i="21"/>
  <c r="M42" i="21" s="1"/>
  <c r="W18" i="21"/>
  <c r="W16" i="21"/>
  <c r="W14" i="21"/>
  <c r="W11" i="21"/>
  <c r="R10" i="21"/>
  <c r="W9" i="21"/>
  <c r="V8" i="21"/>
  <c r="X6" i="21"/>
  <c r="M5" i="21"/>
  <c r="G12" i="14" l="1"/>
  <c r="G32" i="14" s="1"/>
  <c r="G12" i="6"/>
  <c r="G32" i="6" s="1"/>
  <c r="H12" i="14"/>
  <c r="H32" i="14" s="1"/>
  <c r="H12" i="6"/>
  <c r="H32" i="6" s="1"/>
  <c r="I12" i="14"/>
  <c r="I32" i="14" s="1"/>
  <c r="E12" i="6"/>
  <c r="E32" i="6" s="1"/>
  <c r="I12" i="6"/>
  <c r="I32" i="6" s="1"/>
  <c r="F12" i="14"/>
  <c r="F32" i="14" s="1"/>
  <c r="F12" i="6"/>
  <c r="F32" i="6" s="1"/>
  <c r="D36" i="2"/>
  <c r="P37" i="8"/>
  <c r="H39" i="3"/>
  <c r="H37" i="3"/>
  <c r="G39" i="3"/>
  <c r="G37" i="3"/>
  <c r="E39" i="3"/>
  <c r="E37" i="3"/>
  <c r="D39" i="3"/>
  <c r="D37" i="3"/>
  <c r="I39" i="3"/>
  <c r="I37" i="3"/>
  <c r="F39" i="3"/>
  <c r="F37" i="3"/>
  <c r="P35" i="16"/>
  <c r="O42" i="21"/>
  <c r="F6" i="8" s="1"/>
  <c r="W42" i="21"/>
  <c r="P42" i="21"/>
  <c r="X42" i="21"/>
  <c r="Q42" i="21"/>
  <c r="U42" i="21"/>
  <c r="T42" i="21"/>
  <c r="N42" i="21"/>
  <c r="R42" i="21"/>
  <c r="V42" i="21"/>
  <c r="D12" i="13"/>
  <c r="D32" i="13" s="1"/>
  <c r="D12" i="6"/>
  <c r="D32" i="6" s="1"/>
  <c r="D12" i="14"/>
  <c r="D32" i="14" s="1"/>
  <c r="D6" i="8"/>
  <c r="I43" i="15"/>
  <c r="I105" i="15" s="1"/>
  <c r="H40" i="3"/>
  <c r="H36" i="3"/>
  <c r="H41" i="3"/>
  <c r="H35" i="3"/>
  <c r="I41" i="3"/>
  <c r="I40" i="3"/>
  <c r="I36" i="3"/>
  <c r="I35" i="3"/>
  <c r="F41" i="3"/>
  <c r="F40" i="3"/>
  <c r="F36" i="3"/>
  <c r="F35" i="3"/>
  <c r="D43" i="6"/>
  <c r="D106" i="6" s="1"/>
  <c r="E43" i="16"/>
  <c r="E106" i="16" s="1"/>
  <c r="E109" i="16" s="1"/>
  <c r="G40" i="3"/>
  <c r="G41" i="3"/>
  <c r="G36" i="3"/>
  <c r="G35" i="3"/>
  <c r="E41" i="3"/>
  <c r="E40" i="3"/>
  <c r="E36" i="3"/>
  <c r="E35" i="3"/>
  <c r="D40" i="3"/>
  <c r="D41" i="3"/>
  <c r="D36" i="3"/>
  <c r="D35" i="3"/>
  <c r="H43" i="8"/>
  <c r="H106" i="8" s="1"/>
  <c r="J12" i="8"/>
  <c r="J12" i="14"/>
  <c r="J12" i="6"/>
  <c r="M12" i="13"/>
  <c r="N12" i="13"/>
  <c r="G12" i="13"/>
  <c r="G32" i="13" s="1"/>
  <c r="K12" i="13"/>
  <c r="O12" i="13"/>
  <c r="J12" i="13"/>
  <c r="L12" i="13"/>
  <c r="E43" i="15"/>
  <c r="E105" i="15" s="1"/>
  <c r="I44" i="10"/>
  <c r="I107" i="10" s="1"/>
  <c r="I110" i="10" s="1"/>
  <c r="F43" i="15"/>
  <c r="F105" i="15" s="1"/>
  <c r="I43" i="6"/>
  <c r="I106" i="6" s="1"/>
  <c r="H43" i="15"/>
  <c r="H105" i="15" s="1"/>
  <c r="H43" i="12"/>
  <c r="H106" i="12" s="1"/>
  <c r="F43" i="6"/>
  <c r="F106" i="6" s="1"/>
  <c r="I43" i="16"/>
  <c r="I106" i="16" s="1"/>
  <c r="I109" i="16" s="1"/>
  <c r="M43" i="16"/>
  <c r="M106" i="16" s="1"/>
  <c r="M109" i="16" s="1"/>
  <c r="E43" i="6"/>
  <c r="E106" i="6" s="1"/>
  <c r="F43" i="13"/>
  <c r="F106" i="13" s="1"/>
  <c r="F109" i="13" s="1"/>
  <c r="H43" i="16"/>
  <c r="H106" i="16" s="1"/>
  <c r="H109" i="16" s="1"/>
  <c r="D43" i="8"/>
  <c r="D106" i="8" s="1"/>
  <c r="G43" i="8"/>
  <c r="G106" i="8" s="1"/>
  <c r="H43" i="14"/>
  <c r="H106" i="14" s="1"/>
  <c r="F43" i="16"/>
  <c r="F106" i="16" s="1"/>
  <c r="F109" i="16" s="1"/>
  <c r="G43" i="14"/>
  <c r="G106" i="14" s="1"/>
  <c r="I43" i="13"/>
  <c r="I106" i="13" s="1"/>
  <c r="I109" i="13" s="1"/>
  <c r="D44" i="10"/>
  <c r="D107" i="10" s="1"/>
  <c r="D110" i="10" s="1"/>
  <c r="H43" i="6"/>
  <c r="H106" i="6" s="1"/>
  <c r="G43" i="6"/>
  <c r="G106" i="6" s="1"/>
  <c r="G43" i="13"/>
  <c r="G106" i="13" s="1"/>
  <c r="E43" i="12"/>
  <c r="E106" i="12" s="1"/>
  <c r="D43" i="15"/>
  <c r="D105" i="15" s="1"/>
  <c r="F43" i="14"/>
  <c r="F106" i="14" s="1"/>
  <c r="I43" i="12"/>
  <c r="I106" i="12" s="1"/>
  <c r="F43" i="8"/>
  <c r="F106" i="8" s="1"/>
  <c r="D43" i="12"/>
  <c r="D106" i="12" s="1"/>
  <c r="E43" i="14"/>
  <c r="E106" i="14" s="1"/>
  <c r="G43" i="16"/>
  <c r="G106" i="16" s="1"/>
  <c r="G109" i="16" s="1"/>
  <c r="D43" i="14"/>
  <c r="D106" i="14" s="1"/>
  <c r="H43" i="13"/>
  <c r="H106" i="13" s="1"/>
  <c r="H109" i="13" s="1"/>
  <c r="F43" i="12"/>
  <c r="F106" i="12" s="1"/>
  <c r="I43" i="14"/>
  <c r="I106" i="14" s="1"/>
  <c r="E43" i="13"/>
  <c r="E106" i="13" s="1"/>
  <c r="E109" i="13" s="1"/>
  <c r="D43" i="13"/>
  <c r="D106" i="13" s="1"/>
  <c r="I43" i="8"/>
  <c r="I106" i="8" s="1"/>
  <c r="G44" i="10"/>
  <c r="G107" i="10" s="1"/>
  <c r="G110" i="10" s="1"/>
  <c r="E43" i="8"/>
  <c r="E106" i="8" s="1"/>
  <c r="H44" i="10"/>
  <c r="H107" i="10" s="1"/>
  <c r="H110" i="10" s="1"/>
  <c r="G43" i="12"/>
  <c r="G106" i="12" s="1"/>
  <c r="G43" i="15"/>
  <c r="G105" i="15" s="1"/>
  <c r="E44" i="10"/>
  <c r="E107" i="10" s="1"/>
  <c r="E110" i="10" s="1"/>
  <c r="F44" i="10"/>
  <c r="F107" i="10" s="1"/>
  <c r="F110" i="10" s="1"/>
  <c r="X5" i="21"/>
  <c r="V10" i="21"/>
  <c r="P6" i="21"/>
  <c r="T9" i="21"/>
  <c r="V11" i="21"/>
  <c r="N11" i="21"/>
  <c r="V18" i="21"/>
  <c r="P5" i="21"/>
  <c r="T11" i="21"/>
  <c r="N14" i="21"/>
  <c r="X16" i="21"/>
  <c r="P20" i="21"/>
  <c r="T14" i="21"/>
  <c r="N18" i="21"/>
  <c r="V14" i="21"/>
  <c r="T18" i="21"/>
  <c r="P16" i="21"/>
  <c r="R5" i="21"/>
  <c r="V9" i="21"/>
  <c r="R16" i="21"/>
  <c r="N5" i="21"/>
  <c r="V5" i="21"/>
  <c r="R9" i="21"/>
  <c r="R11" i="21"/>
  <c r="R14" i="21"/>
  <c r="N16" i="21"/>
  <c r="V16" i="21"/>
  <c r="R18" i="21"/>
  <c r="N20" i="21"/>
  <c r="N9" i="21"/>
  <c r="T5" i="21"/>
  <c r="P9" i="21"/>
  <c r="X9" i="21"/>
  <c r="P11" i="21"/>
  <c r="X11" i="21"/>
  <c r="P14" i="21"/>
  <c r="X14" i="21"/>
  <c r="T16" i="21"/>
  <c r="P18" i="21"/>
  <c r="X18" i="21"/>
  <c r="W8" i="21"/>
  <c r="S8" i="21"/>
  <c r="O8" i="21"/>
  <c r="U8" i="21"/>
  <c r="Q8" i="21"/>
  <c r="M8" i="21"/>
  <c r="X8" i="21"/>
  <c r="T8" i="21"/>
  <c r="P8" i="21"/>
  <c r="W12" i="21"/>
  <c r="S12" i="21"/>
  <c r="O12" i="21"/>
  <c r="V12" i="21"/>
  <c r="R12" i="21"/>
  <c r="N12" i="21"/>
  <c r="U12" i="21"/>
  <c r="Q12" i="21"/>
  <c r="M12" i="21"/>
  <c r="X12" i="21"/>
  <c r="T12" i="21"/>
  <c r="P12" i="21"/>
  <c r="W15" i="21"/>
  <c r="S15" i="21"/>
  <c r="O15" i="21"/>
  <c r="V15" i="21"/>
  <c r="R15" i="21"/>
  <c r="N15" i="21"/>
  <c r="U15" i="21"/>
  <c r="Q15" i="21"/>
  <c r="M15" i="21"/>
  <c r="X15" i="21"/>
  <c r="T15" i="21"/>
  <c r="P15" i="21"/>
  <c r="X19" i="21"/>
  <c r="T19" i="21"/>
  <c r="W19" i="21"/>
  <c r="S19" i="21"/>
  <c r="Q19" i="21"/>
  <c r="V19" i="21"/>
  <c r="R19" i="21"/>
  <c r="U19" i="21"/>
  <c r="O19" i="21"/>
  <c r="N19" i="21"/>
  <c r="M19" i="21"/>
  <c r="P19" i="21"/>
  <c r="N8" i="21"/>
  <c r="U6" i="21"/>
  <c r="Q6" i="21"/>
  <c r="M6" i="21"/>
  <c r="W6" i="21"/>
  <c r="S6" i="21"/>
  <c r="O6" i="21"/>
  <c r="V6" i="21"/>
  <c r="R6" i="21"/>
  <c r="N6" i="21"/>
  <c r="W10" i="21"/>
  <c r="S10" i="21"/>
  <c r="O10" i="21"/>
  <c r="U10" i="21"/>
  <c r="Q10" i="21"/>
  <c r="M10" i="21"/>
  <c r="X10" i="21"/>
  <c r="T10" i="21"/>
  <c r="P10" i="21"/>
  <c r="W13" i="21"/>
  <c r="S13" i="21"/>
  <c r="O13" i="21"/>
  <c r="V13" i="21"/>
  <c r="R13" i="21"/>
  <c r="N13" i="21"/>
  <c r="U13" i="21"/>
  <c r="Q13" i="21"/>
  <c r="M13" i="21"/>
  <c r="X13" i="21"/>
  <c r="T13" i="21"/>
  <c r="P13" i="21"/>
  <c r="W17" i="21"/>
  <c r="S17" i="21"/>
  <c r="O17" i="21"/>
  <c r="V17" i="21"/>
  <c r="R17" i="21"/>
  <c r="N17" i="21"/>
  <c r="U17" i="21"/>
  <c r="Q17" i="21"/>
  <c r="M17" i="21"/>
  <c r="X17" i="21"/>
  <c r="T17" i="21"/>
  <c r="P17" i="21"/>
  <c r="T6" i="21"/>
  <c r="R8" i="21"/>
  <c r="N10" i="21"/>
  <c r="O5" i="21"/>
  <c r="S5" i="21"/>
  <c r="W5" i="21"/>
  <c r="M9" i="21"/>
  <c r="Q9" i="21"/>
  <c r="U9" i="21"/>
  <c r="M11" i="21"/>
  <c r="Q11" i="21"/>
  <c r="U11" i="21"/>
  <c r="M14" i="21"/>
  <c r="Q14" i="21"/>
  <c r="U14" i="21"/>
  <c r="M16" i="21"/>
  <c r="Q16" i="21"/>
  <c r="U16" i="21"/>
  <c r="M18" i="21"/>
  <c r="Q18" i="21"/>
  <c r="U18" i="21"/>
  <c r="X20" i="21"/>
  <c r="T20" i="21"/>
  <c r="W20" i="21"/>
  <c r="S20" i="21"/>
  <c r="V20" i="21"/>
  <c r="R20" i="21"/>
  <c r="U20" i="21"/>
  <c r="Q20" i="21"/>
  <c r="Q5" i="21"/>
  <c r="U5" i="21"/>
  <c r="O9" i="21"/>
  <c r="S9" i="21"/>
  <c r="O11" i="21"/>
  <c r="S11" i="21"/>
  <c r="O14" i="21"/>
  <c r="S14" i="21"/>
  <c r="O16" i="21"/>
  <c r="S16" i="21"/>
  <c r="O18" i="21"/>
  <c r="S18" i="21"/>
  <c r="O20" i="21"/>
  <c r="K43" i="16"/>
  <c r="K106" i="16" s="1"/>
  <c r="K109" i="16" s="1"/>
  <c r="N43" i="16"/>
  <c r="N106" i="16" s="1"/>
  <c r="N109" i="16" s="1"/>
  <c r="L43" i="16"/>
  <c r="L106" i="16" s="1"/>
  <c r="L109" i="16" s="1"/>
  <c r="O43" i="16"/>
  <c r="O106" i="16" s="1"/>
  <c r="O109" i="16" s="1"/>
  <c r="O43" i="25"/>
  <c r="O106" i="25" s="1"/>
  <c r="O109" i="25" s="1"/>
  <c r="P39" i="15"/>
  <c r="I39" i="1" s="1"/>
  <c r="P37" i="15"/>
  <c r="I37" i="1" s="1"/>
  <c r="P41" i="15"/>
  <c r="I41" i="1" s="1"/>
  <c r="P40" i="15"/>
  <c r="I40" i="1" s="1"/>
  <c r="M43" i="25"/>
  <c r="M106" i="25" s="1"/>
  <c r="M109" i="25" s="1"/>
  <c r="K43" i="25"/>
  <c r="K106" i="25" s="1"/>
  <c r="K109" i="25" s="1"/>
  <c r="L43" i="25"/>
  <c r="L106" i="25" s="1"/>
  <c r="L109" i="25" s="1"/>
  <c r="M36" i="2"/>
  <c r="N43" i="25"/>
  <c r="N106" i="25" s="1"/>
  <c r="N109" i="25" s="1"/>
  <c r="J35" i="3"/>
  <c r="L108" i="1"/>
  <c r="K108" i="1"/>
  <c r="J108" i="1"/>
  <c r="I108" i="1"/>
  <c r="H108" i="1"/>
  <c r="J105" i="1"/>
  <c r="J104" i="1"/>
  <c r="J103" i="1"/>
  <c r="J102" i="1"/>
  <c r="J101" i="1"/>
  <c r="J100" i="1"/>
  <c r="J99" i="1"/>
  <c r="J98" i="1"/>
  <c r="I98" i="1"/>
  <c r="J97" i="1"/>
  <c r="J96" i="1"/>
  <c r="J95" i="1"/>
  <c r="I95" i="1"/>
  <c r="J94" i="1"/>
  <c r="J93" i="1"/>
  <c r="J92" i="1"/>
  <c r="I92" i="1"/>
  <c r="J91" i="1"/>
  <c r="J90" i="1"/>
  <c r="J89" i="1"/>
  <c r="J88" i="1"/>
  <c r="J87" i="1"/>
  <c r="J84" i="1"/>
  <c r="I84" i="1"/>
  <c r="J83" i="1"/>
  <c r="J82" i="1"/>
  <c r="K81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3" i="1"/>
  <c r="J62" i="1"/>
  <c r="J61" i="1"/>
  <c r="J60" i="1"/>
  <c r="I60" i="1"/>
  <c r="J59" i="1"/>
  <c r="J58" i="1"/>
  <c r="J57" i="1"/>
  <c r="J53" i="1"/>
  <c r="J51" i="1"/>
  <c r="I51" i="1"/>
  <c r="J49" i="1"/>
  <c r="J48" i="1"/>
  <c r="J47" i="1"/>
  <c r="J46" i="1"/>
  <c r="I46" i="1"/>
  <c r="J45" i="1"/>
  <c r="J42" i="1"/>
  <c r="J31" i="1"/>
  <c r="J30" i="1"/>
  <c r="J29" i="1"/>
  <c r="J28" i="1"/>
  <c r="J25" i="1"/>
  <c r="L19" i="1"/>
  <c r="K19" i="1"/>
  <c r="J19" i="1"/>
  <c r="I19" i="1"/>
  <c r="H19" i="1"/>
  <c r="J15" i="1"/>
  <c r="J14" i="1"/>
  <c r="J11" i="1"/>
  <c r="J9" i="1"/>
  <c r="J7" i="1"/>
  <c r="J6" i="1"/>
  <c r="I6" i="1"/>
  <c r="O31" i="4"/>
  <c r="N31" i="4"/>
  <c r="M31" i="4"/>
  <c r="L31" i="4"/>
  <c r="M30" i="4"/>
  <c r="J30" i="4"/>
  <c r="J29" i="4"/>
  <c r="N28" i="4"/>
  <c r="J28" i="4"/>
  <c r="K31" i="4"/>
  <c r="I31" i="4"/>
  <c r="H31" i="4"/>
  <c r="G31" i="4"/>
  <c r="F31" i="4"/>
  <c r="E31" i="4"/>
  <c r="D31" i="4"/>
  <c r="O30" i="4"/>
  <c r="N30" i="4"/>
  <c r="L30" i="4"/>
  <c r="K30" i="4"/>
  <c r="I30" i="4"/>
  <c r="H30" i="4"/>
  <c r="G30" i="4"/>
  <c r="F30" i="4"/>
  <c r="E30" i="4"/>
  <c r="D30" i="4"/>
  <c r="O29" i="4"/>
  <c r="N29" i="4"/>
  <c r="M29" i="4"/>
  <c r="L29" i="4"/>
  <c r="K29" i="4"/>
  <c r="I29" i="4"/>
  <c r="H29" i="4"/>
  <c r="G29" i="4"/>
  <c r="F29" i="4"/>
  <c r="D29" i="4"/>
  <c r="M28" i="4"/>
  <c r="L28" i="4"/>
  <c r="K28" i="4"/>
  <c r="I28" i="4"/>
  <c r="H28" i="4"/>
  <c r="G28" i="4"/>
  <c r="F28" i="4"/>
  <c r="D28" i="4"/>
  <c r="P73" i="11"/>
  <c r="H73" i="1" s="1"/>
  <c r="O85" i="11"/>
  <c r="N85" i="11"/>
  <c r="K85" i="11"/>
  <c r="J85" i="11"/>
  <c r="N26" i="11"/>
  <c r="M26" i="11"/>
  <c r="L26" i="11"/>
  <c r="I26" i="11"/>
  <c r="H26" i="11"/>
  <c r="G26" i="11"/>
  <c r="E26" i="11"/>
  <c r="D26" i="11"/>
  <c r="O18" i="11"/>
  <c r="N18" i="11"/>
  <c r="O12" i="11"/>
  <c r="G7" i="4"/>
  <c r="O104" i="7"/>
  <c r="O104" i="4" s="1"/>
  <c r="N104" i="7"/>
  <c r="N104" i="4" s="1"/>
  <c r="M104" i="7"/>
  <c r="M104" i="4" s="1"/>
  <c r="L104" i="7"/>
  <c r="L104" i="4" s="1"/>
  <c r="K104" i="7"/>
  <c r="K104" i="4" s="1"/>
  <c r="J104" i="7"/>
  <c r="J104" i="4" s="1"/>
  <c r="I104" i="7"/>
  <c r="H104" i="7"/>
  <c r="G104" i="7"/>
  <c r="F104" i="7"/>
  <c r="F104" i="4" s="1"/>
  <c r="E104" i="7"/>
  <c r="D104" i="7"/>
  <c r="O103" i="7"/>
  <c r="O103" i="4" s="1"/>
  <c r="N103" i="7"/>
  <c r="N103" i="4" s="1"/>
  <c r="M103" i="7"/>
  <c r="M103" i="4" s="1"/>
  <c r="L103" i="7"/>
  <c r="L103" i="4" s="1"/>
  <c r="K103" i="7"/>
  <c r="K103" i="4" s="1"/>
  <c r="J103" i="7"/>
  <c r="J103" i="4" s="1"/>
  <c r="I103" i="7"/>
  <c r="I103" i="4" s="1"/>
  <c r="H103" i="7"/>
  <c r="G103" i="7"/>
  <c r="F103" i="7"/>
  <c r="F103" i="4" s="1"/>
  <c r="E103" i="7"/>
  <c r="E103" i="4" s="1"/>
  <c r="D103" i="7"/>
  <c r="O102" i="7"/>
  <c r="O102" i="4" s="1"/>
  <c r="N102" i="7"/>
  <c r="N102" i="4" s="1"/>
  <c r="M102" i="7"/>
  <c r="M102" i="4" s="1"/>
  <c r="L102" i="7"/>
  <c r="L102" i="4" s="1"/>
  <c r="K102" i="7"/>
  <c r="K102" i="4" s="1"/>
  <c r="J102" i="7"/>
  <c r="J102" i="4" s="1"/>
  <c r="I102" i="7"/>
  <c r="H102" i="7"/>
  <c r="G102" i="7"/>
  <c r="F102" i="7"/>
  <c r="F102" i="4" s="1"/>
  <c r="E102" i="7"/>
  <c r="D102" i="7"/>
  <c r="O101" i="7"/>
  <c r="N101" i="7"/>
  <c r="M101" i="7"/>
  <c r="M101" i="4" s="1"/>
  <c r="L101" i="7"/>
  <c r="L101" i="4" s="1"/>
  <c r="K101" i="7"/>
  <c r="J101" i="7"/>
  <c r="I101" i="7"/>
  <c r="I101" i="4" s="1"/>
  <c r="H101" i="7"/>
  <c r="G101" i="7"/>
  <c r="F101" i="7"/>
  <c r="F101" i="4" s="1"/>
  <c r="E101" i="7"/>
  <c r="E101" i="4" s="1"/>
  <c r="D101" i="7"/>
  <c r="O100" i="7"/>
  <c r="O100" i="4" s="1"/>
  <c r="N100" i="7"/>
  <c r="N100" i="4" s="1"/>
  <c r="M100" i="7"/>
  <c r="M100" i="4" s="1"/>
  <c r="L100" i="7"/>
  <c r="L100" i="4" s="1"/>
  <c r="K100" i="7"/>
  <c r="K100" i="4" s="1"/>
  <c r="J100" i="7"/>
  <c r="J100" i="4" s="1"/>
  <c r="I100" i="7"/>
  <c r="H100" i="7"/>
  <c r="G100" i="7"/>
  <c r="F100" i="7"/>
  <c r="F100" i="4" s="1"/>
  <c r="E100" i="7"/>
  <c r="D100" i="7"/>
  <c r="O99" i="7"/>
  <c r="O99" i="4" s="1"/>
  <c r="N99" i="7"/>
  <c r="N99" i="4" s="1"/>
  <c r="M99" i="7"/>
  <c r="M99" i="4" s="1"/>
  <c r="L99" i="7"/>
  <c r="L99" i="4" s="1"/>
  <c r="K99" i="7"/>
  <c r="K99" i="4" s="1"/>
  <c r="J99" i="7"/>
  <c r="J99" i="4" s="1"/>
  <c r="I99" i="7"/>
  <c r="I99" i="4" s="1"/>
  <c r="H99" i="7"/>
  <c r="G99" i="7"/>
  <c r="F99" i="7"/>
  <c r="F99" i="4" s="1"/>
  <c r="E99" i="7"/>
  <c r="E99" i="4" s="1"/>
  <c r="D99" i="7"/>
  <c r="O98" i="7"/>
  <c r="O98" i="4" s="1"/>
  <c r="N98" i="7"/>
  <c r="N98" i="4" s="1"/>
  <c r="M98" i="7"/>
  <c r="M98" i="4" s="1"/>
  <c r="L98" i="7"/>
  <c r="L98" i="4" s="1"/>
  <c r="K98" i="7"/>
  <c r="K98" i="4" s="1"/>
  <c r="J98" i="7"/>
  <c r="J98" i="4" s="1"/>
  <c r="I98" i="7"/>
  <c r="H98" i="7"/>
  <c r="G98" i="7"/>
  <c r="F98" i="7"/>
  <c r="F98" i="4" s="1"/>
  <c r="E98" i="7"/>
  <c r="D98" i="7"/>
  <c r="O97" i="7"/>
  <c r="O97" i="4" s="1"/>
  <c r="N97" i="7"/>
  <c r="N97" i="4" s="1"/>
  <c r="M97" i="7"/>
  <c r="M97" i="4" s="1"/>
  <c r="L97" i="7"/>
  <c r="L97" i="4" s="1"/>
  <c r="K97" i="7"/>
  <c r="K97" i="4" s="1"/>
  <c r="J97" i="7"/>
  <c r="J97" i="4" s="1"/>
  <c r="I97" i="7"/>
  <c r="I97" i="4" s="1"/>
  <c r="H97" i="7"/>
  <c r="G97" i="7"/>
  <c r="F97" i="7"/>
  <c r="F97" i="4" s="1"/>
  <c r="E97" i="7"/>
  <c r="E97" i="4" s="1"/>
  <c r="D97" i="7"/>
  <c r="O96" i="7"/>
  <c r="O96" i="4" s="1"/>
  <c r="N96" i="7"/>
  <c r="N96" i="4" s="1"/>
  <c r="M96" i="7"/>
  <c r="M96" i="4" s="1"/>
  <c r="L96" i="7"/>
  <c r="L96" i="4" s="1"/>
  <c r="K96" i="7"/>
  <c r="K96" i="4" s="1"/>
  <c r="J96" i="7"/>
  <c r="J96" i="4" s="1"/>
  <c r="I96" i="7"/>
  <c r="H96" i="7"/>
  <c r="G96" i="7"/>
  <c r="F96" i="7"/>
  <c r="F96" i="4" s="1"/>
  <c r="E96" i="7"/>
  <c r="D96" i="7"/>
  <c r="O95" i="7"/>
  <c r="O95" i="4" s="1"/>
  <c r="N95" i="7"/>
  <c r="N95" i="4" s="1"/>
  <c r="M95" i="7"/>
  <c r="M95" i="4" s="1"/>
  <c r="L95" i="7"/>
  <c r="L95" i="4" s="1"/>
  <c r="K95" i="7"/>
  <c r="K95" i="4" s="1"/>
  <c r="J95" i="7"/>
  <c r="J95" i="4" s="1"/>
  <c r="I95" i="7"/>
  <c r="I95" i="4" s="1"/>
  <c r="H95" i="7"/>
  <c r="G95" i="7"/>
  <c r="F95" i="7"/>
  <c r="F95" i="4" s="1"/>
  <c r="E95" i="7"/>
  <c r="E95" i="4" s="1"/>
  <c r="D95" i="7"/>
  <c r="O94" i="7"/>
  <c r="N94" i="7"/>
  <c r="M94" i="7"/>
  <c r="L94" i="7"/>
  <c r="K94" i="7"/>
  <c r="J94" i="7"/>
  <c r="I94" i="7"/>
  <c r="H94" i="7"/>
  <c r="G94" i="7"/>
  <c r="F94" i="7"/>
  <c r="E94" i="7"/>
  <c r="D94" i="7"/>
  <c r="O93" i="7"/>
  <c r="O93" i="4" s="1"/>
  <c r="N93" i="7"/>
  <c r="N93" i="4" s="1"/>
  <c r="M93" i="7"/>
  <c r="M93" i="4" s="1"/>
  <c r="L93" i="7"/>
  <c r="L93" i="4" s="1"/>
  <c r="K93" i="7"/>
  <c r="K93" i="4" s="1"/>
  <c r="J93" i="7"/>
  <c r="J93" i="4" s="1"/>
  <c r="I93" i="7"/>
  <c r="I93" i="4" s="1"/>
  <c r="H93" i="7"/>
  <c r="G93" i="7"/>
  <c r="F93" i="7"/>
  <c r="F93" i="4" s="1"/>
  <c r="E93" i="7"/>
  <c r="D93" i="7"/>
  <c r="O92" i="7"/>
  <c r="O92" i="4" s="1"/>
  <c r="N92" i="7"/>
  <c r="N92" i="4" s="1"/>
  <c r="M92" i="7"/>
  <c r="M92" i="4" s="1"/>
  <c r="L92" i="7"/>
  <c r="L92" i="4" s="1"/>
  <c r="K92" i="7"/>
  <c r="K92" i="4" s="1"/>
  <c r="J92" i="7"/>
  <c r="J92" i="4" s="1"/>
  <c r="I92" i="7"/>
  <c r="H92" i="7"/>
  <c r="G92" i="7"/>
  <c r="F92" i="7"/>
  <c r="F92" i="4" s="1"/>
  <c r="E92" i="7"/>
  <c r="D92" i="7"/>
  <c r="O91" i="7"/>
  <c r="O91" i="4" s="1"/>
  <c r="N91" i="7"/>
  <c r="N91" i="4" s="1"/>
  <c r="M91" i="7"/>
  <c r="M91" i="4" s="1"/>
  <c r="L91" i="7"/>
  <c r="L91" i="4" s="1"/>
  <c r="K91" i="7"/>
  <c r="K91" i="4" s="1"/>
  <c r="J91" i="7"/>
  <c r="J91" i="4" s="1"/>
  <c r="I91" i="7"/>
  <c r="I91" i="4" s="1"/>
  <c r="H91" i="7"/>
  <c r="G91" i="7"/>
  <c r="F91" i="7"/>
  <c r="F91" i="4" s="1"/>
  <c r="E91" i="7"/>
  <c r="D91" i="7"/>
  <c r="O90" i="7"/>
  <c r="O90" i="4" s="1"/>
  <c r="N90" i="7"/>
  <c r="N90" i="4" s="1"/>
  <c r="M90" i="7"/>
  <c r="M90" i="4" s="1"/>
  <c r="L90" i="7"/>
  <c r="L90" i="4" s="1"/>
  <c r="K90" i="7"/>
  <c r="K90" i="4" s="1"/>
  <c r="J90" i="7"/>
  <c r="J90" i="4" s="1"/>
  <c r="I90" i="7"/>
  <c r="H90" i="7"/>
  <c r="G90" i="7"/>
  <c r="F90" i="7"/>
  <c r="F90" i="4" s="1"/>
  <c r="E90" i="7"/>
  <c r="D90" i="7"/>
  <c r="O89" i="7"/>
  <c r="N89" i="7"/>
  <c r="M89" i="7"/>
  <c r="L89" i="7"/>
  <c r="K89" i="7"/>
  <c r="J89" i="7"/>
  <c r="J89" i="4" s="1"/>
  <c r="I89" i="7"/>
  <c r="I89" i="4" s="1"/>
  <c r="H89" i="7"/>
  <c r="G89" i="7"/>
  <c r="F89" i="7"/>
  <c r="F89" i="4" s="1"/>
  <c r="E89" i="7"/>
  <c r="E89" i="4" s="1"/>
  <c r="D89" i="7"/>
  <c r="O88" i="7"/>
  <c r="O88" i="4" s="1"/>
  <c r="N88" i="7"/>
  <c r="N88" i="4" s="1"/>
  <c r="M88" i="7"/>
  <c r="M88" i="4" s="1"/>
  <c r="L88" i="7"/>
  <c r="L88" i="4" s="1"/>
  <c r="K88" i="7"/>
  <c r="K88" i="4" s="1"/>
  <c r="J88" i="7"/>
  <c r="J88" i="4" s="1"/>
  <c r="I88" i="7"/>
  <c r="H88" i="7"/>
  <c r="G88" i="7"/>
  <c r="F88" i="7"/>
  <c r="F88" i="4" s="1"/>
  <c r="E88" i="7"/>
  <c r="D88" i="7"/>
  <c r="O87" i="7"/>
  <c r="O87" i="4" s="1"/>
  <c r="N87" i="7"/>
  <c r="N87" i="4" s="1"/>
  <c r="M87" i="7"/>
  <c r="M87" i="4" s="1"/>
  <c r="L87" i="7"/>
  <c r="L87" i="4" s="1"/>
  <c r="K87" i="7"/>
  <c r="K87" i="4" s="1"/>
  <c r="J87" i="7"/>
  <c r="J87" i="4" s="1"/>
  <c r="I87" i="7"/>
  <c r="I87" i="4" s="1"/>
  <c r="H87" i="7"/>
  <c r="G87" i="7"/>
  <c r="F87" i="7"/>
  <c r="F87" i="4" s="1"/>
  <c r="E87" i="7"/>
  <c r="E87" i="4" s="1"/>
  <c r="D87" i="7"/>
  <c r="O86" i="7"/>
  <c r="O86" i="4" s="1"/>
  <c r="N86" i="7"/>
  <c r="N86" i="4" s="1"/>
  <c r="M86" i="7"/>
  <c r="L86" i="7"/>
  <c r="L86" i="4" s="1"/>
  <c r="K86" i="7"/>
  <c r="K86" i="4" s="1"/>
  <c r="J86" i="7"/>
  <c r="J86" i="4" s="1"/>
  <c r="I86" i="7"/>
  <c r="H86" i="7"/>
  <c r="G86" i="7"/>
  <c r="F86" i="7"/>
  <c r="E86" i="7"/>
  <c r="D86" i="7"/>
  <c r="O83" i="7"/>
  <c r="O83" i="4" s="1"/>
  <c r="N83" i="7"/>
  <c r="N83" i="4" s="1"/>
  <c r="M83" i="7"/>
  <c r="M83" i="4" s="1"/>
  <c r="L83" i="7"/>
  <c r="L83" i="4" s="1"/>
  <c r="K83" i="7"/>
  <c r="K83" i="4" s="1"/>
  <c r="J83" i="7"/>
  <c r="J83" i="4" s="1"/>
  <c r="I83" i="7"/>
  <c r="H83" i="7"/>
  <c r="G83" i="7"/>
  <c r="F83" i="7"/>
  <c r="E83" i="7"/>
  <c r="D83" i="7"/>
  <c r="O82" i="7"/>
  <c r="O82" i="4" s="1"/>
  <c r="N82" i="7"/>
  <c r="N82" i="4" s="1"/>
  <c r="M82" i="7"/>
  <c r="M82" i="4" s="1"/>
  <c r="L82" i="7"/>
  <c r="L82" i="4" s="1"/>
  <c r="K82" i="7"/>
  <c r="K82" i="4" s="1"/>
  <c r="J82" i="7"/>
  <c r="J82" i="4" s="1"/>
  <c r="I82" i="7"/>
  <c r="I82" i="4" s="1"/>
  <c r="H82" i="7"/>
  <c r="G82" i="7"/>
  <c r="F82" i="7"/>
  <c r="E82" i="7"/>
  <c r="E82" i="4" s="1"/>
  <c r="D82" i="7"/>
  <c r="O81" i="7"/>
  <c r="O81" i="4" s="1"/>
  <c r="N81" i="7"/>
  <c r="N81" i="4" s="1"/>
  <c r="M81" i="7"/>
  <c r="M81" i="4" s="1"/>
  <c r="L81" i="7"/>
  <c r="L81" i="4" s="1"/>
  <c r="K81" i="7"/>
  <c r="K81" i="4" s="1"/>
  <c r="J81" i="7"/>
  <c r="J81" i="4" s="1"/>
  <c r="I81" i="7"/>
  <c r="I81" i="4" s="1"/>
  <c r="H81" i="7"/>
  <c r="G81" i="7"/>
  <c r="F81" i="7"/>
  <c r="E81" i="7"/>
  <c r="E81" i="4" s="1"/>
  <c r="D81" i="7"/>
  <c r="O80" i="7"/>
  <c r="O80" i="4" s="1"/>
  <c r="N80" i="7"/>
  <c r="N80" i="4" s="1"/>
  <c r="M80" i="7"/>
  <c r="M80" i="4" s="1"/>
  <c r="L80" i="7"/>
  <c r="L80" i="4" s="1"/>
  <c r="K80" i="7"/>
  <c r="K80" i="4" s="1"/>
  <c r="J80" i="7"/>
  <c r="J80" i="4" s="1"/>
  <c r="I80" i="7"/>
  <c r="I80" i="4" s="1"/>
  <c r="H80" i="7"/>
  <c r="G80" i="7"/>
  <c r="F80" i="7"/>
  <c r="E80" i="7"/>
  <c r="E80" i="4" s="1"/>
  <c r="D80" i="7"/>
  <c r="O79" i="7"/>
  <c r="O79" i="4" s="1"/>
  <c r="N79" i="7"/>
  <c r="N79" i="4" s="1"/>
  <c r="M79" i="7"/>
  <c r="M79" i="4" s="1"/>
  <c r="L79" i="7"/>
  <c r="L79" i="4" s="1"/>
  <c r="K79" i="7"/>
  <c r="K79" i="4" s="1"/>
  <c r="J79" i="7"/>
  <c r="J79" i="4" s="1"/>
  <c r="I79" i="7"/>
  <c r="I79" i="4" s="1"/>
  <c r="H79" i="7"/>
  <c r="G79" i="7"/>
  <c r="F79" i="7"/>
  <c r="E79" i="7"/>
  <c r="E79" i="4" s="1"/>
  <c r="D79" i="7"/>
  <c r="O78" i="7"/>
  <c r="O78" i="4" s="1"/>
  <c r="N78" i="7"/>
  <c r="N78" i="4" s="1"/>
  <c r="M78" i="7"/>
  <c r="M78" i="4" s="1"/>
  <c r="L78" i="7"/>
  <c r="L78" i="4" s="1"/>
  <c r="K78" i="7"/>
  <c r="J78" i="7"/>
  <c r="J78" i="4" s="1"/>
  <c r="I78" i="7"/>
  <c r="I78" i="4" s="1"/>
  <c r="H78" i="7"/>
  <c r="G78" i="7"/>
  <c r="F78" i="7"/>
  <c r="E78" i="7"/>
  <c r="E78" i="4" s="1"/>
  <c r="D78" i="7"/>
  <c r="O77" i="7"/>
  <c r="O77" i="4" s="1"/>
  <c r="N77" i="7"/>
  <c r="N77" i="4" s="1"/>
  <c r="M77" i="7"/>
  <c r="M77" i="4" s="1"/>
  <c r="L77" i="7"/>
  <c r="L77" i="4" s="1"/>
  <c r="K77" i="7"/>
  <c r="K77" i="4" s="1"/>
  <c r="J77" i="7"/>
  <c r="J77" i="4" s="1"/>
  <c r="I77" i="7"/>
  <c r="I77" i="4" s="1"/>
  <c r="H77" i="7"/>
  <c r="G77" i="7"/>
  <c r="F77" i="7"/>
  <c r="E77" i="7"/>
  <c r="E77" i="4" s="1"/>
  <c r="D77" i="7"/>
  <c r="O76" i="7"/>
  <c r="O76" i="4" s="1"/>
  <c r="N76" i="7"/>
  <c r="N76" i="4" s="1"/>
  <c r="M76" i="7"/>
  <c r="M76" i="4" s="1"/>
  <c r="L76" i="7"/>
  <c r="L76" i="4" s="1"/>
  <c r="K76" i="7"/>
  <c r="K76" i="4" s="1"/>
  <c r="J76" i="7"/>
  <c r="J76" i="4" s="1"/>
  <c r="I76" i="7"/>
  <c r="I76" i="4" s="1"/>
  <c r="H76" i="7"/>
  <c r="G76" i="7"/>
  <c r="F76" i="7"/>
  <c r="E76" i="7"/>
  <c r="E76" i="4" s="1"/>
  <c r="D76" i="7"/>
  <c r="O75" i="7"/>
  <c r="O75" i="4" s="1"/>
  <c r="N75" i="7"/>
  <c r="N75" i="4" s="1"/>
  <c r="M75" i="7"/>
  <c r="M75" i="4" s="1"/>
  <c r="L75" i="7"/>
  <c r="L75" i="4" s="1"/>
  <c r="K75" i="7"/>
  <c r="K75" i="4" s="1"/>
  <c r="I75" i="7"/>
  <c r="I75" i="4" s="1"/>
  <c r="H75" i="7"/>
  <c r="G75" i="7"/>
  <c r="F75" i="7"/>
  <c r="E75" i="7"/>
  <c r="E75" i="4" s="1"/>
  <c r="D75" i="7"/>
  <c r="O74" i="7"/>
  <c r="O74" i="4" s="1"/>
  <c r="N74" i="7"/>
  <c r="N74" i="4" s="1"/>
  <c r="M74" i="7"/>
  <c r="M74" i="4" s="1"/>
  <c r="L74" i="7"/>
  <c r="L74" i="4" s="1"/>
  <c r="K74" i="7"/>
  <c r="K74" i="4" s="1"/>
  <c r="J74" i="7"/>
  <c r="J74" i="4" s="1"/>
  <c r="I74" i="7"/>
  <c r="I74" i="4" s="1"/>
  <c r="H74" i="7"/>
  <c r="G74" i="7"/>
  <c r="F74" i="7"/>
  <c r="E74" i="7"/>
  <c r="E74" i="4" s="1"/>
  <c r="D74" i="7"/>
  <c r="O73" i="7"/>
  <c r="O73" i="4" s="1"/>
  <c r="N73" i="7"/>
  <c r="N73" i="4" s="1"/>
  <c r="M73" i="7"/>
  <c r="M73" i="4" s="1"/>
  <c r="L73" i="7"/>
  <c r="L73" i="4" s="1"/>
  <c r="K73" i="7"/>
  <c r="K73" i="4" s="1"/>
  <c r="J73" i="7"/>
  <c r="J73" i="4" s="1"/>
  <c r="I73" i="7"/>
  <c r="I73" i="4" s="1"/>
  <c r="H73" i="7"/>
  <c r="G73" i="7"/>
  <c r="F73" i="7"/>
  <c r="E73" i="7"/>
  <c r="E73" i="4" s="1"/>
  <c r="D73" i="7"/>
  <c r="O72" i="7"/>
  <c r="O72" i="4" s="1"/>
  <c r="N72" i="7"/>
  <c r="N72" i="4" s="1"/>
  <c r="M72" i="7"/>
  <c r="M72" i="4" s="1"/>
  <c r="L72" i="7"/>
  <c r="L72" i="4" s="1"/>
  <c r="K72" i="7"/>
  <c r="K72" i="4" s="1"/>
  <c r="J72" i="7"/>
  <c r="J72" i="4" s="1"/>
  <c r="I72" i="7"/>
  <c r="I72" i="4" s="1"/>
  <c r="H72" i="7"/>
  <c r="G72" i="7"/>
  <c r="F72" i="7"/>
  <c r="E72" i="7"/>
  <c r="E72" i="4" s="1"/>
  <c r="D72" i="7"/>
  <c r="O71" i="7"/>
  <c r="O71" i="4" s="1"/>
  <c r="N71" i="7"/>
  <c r="N71" i="4" s="1"/>
  <c r="M71" i="7"/>
  <c r="M71" i="4" s="1"/>
  <c r="L71" i="7"/>
  <c r="L71" i="4" s="1"/>
  <c r="K71" i="7"/>
  <c r="K71" i="4" s="1"/>
  <c r="J71" i="7"/>
  <c r="J71" i="4" s="1"/>
  <c r="I71" i="7"/>
  <c r="I71" i="4" s="1"/>
  <c r="H71" i="7"/>
  <c r="G71" i="7"/>
  <c r="F71" i="7"/>
  <c r="E71" i="7"/>
  <c r="E71" i="4" s="1"/>
  <c r="D71" i="7"/>
  <c r="O70" i="7"/>
  <c r="O70" i="4" s="1"/>
  <c r="N70" i="7"/>
  <c r="N70" i="4" s="1"/>
  <c r="M70" i="7"/>
  <c r="M70" i="4" s="1"/>
  <c r="L70" i="7"/>
  <c r="L70" i="4" s="1"/>
  <c r="K70" i="7"/>
  <c r="K70" i="4" s="1"/>
  <c r="J70" i="7"/>
  <c r="J70" i="4" s="1"/>
  <c r="I70" i="7"/>
  <c r="I70" i="4" s="1"/>
  <c r="H70" i="7"/>
  <c r="G70" i="7"/>
  <c r="F70" i="7"/>
  <c r="E70" i="7"/>
  <c r="E70" i="4" s="1"/>
  <c r="D70" i="7"/>
  <c r="D70" i="4" s="1"/>
  <c r="O69" i="7"/>
  <c r="N69" i="7"/>
  <c r="M69" i="7"/>
  <c r="L69" i="7"/>
  <c r="K69" i="7"/>
  <c r="J69" i="7"/>
  <c r="I69" i="7"/>
  <c r="I69" i="4" s="1"/>
  <c r="H69" i="7"/>
  <c r="G69" i="7"/>
  <c r="F69" i="7"/>
  <c r="E69" i="7"/>
  <c r="E69" i="4" s="1"/>
  <c r="D69" i="7"/>
  <c r="O68" i="7"/>
  <c r="O68" i="4" s="1"/>
  <c r="N68" i="7"/>
  <c r="N68" i="4" s="1"/>
  <c r="M68" i="7"/>
  <c r="M68" i="4" s="1"/>
  <c r="L68" i="7"/>
  <c r="L68" i="4" s="1"/>
  <c r="K68" i="7"/>
  <c r="K68" i="4" s="1"/>
  <c r="J68" i="7"/>
  <c r="J68" i="4" s="1"/>
  <c r="I68" i="7"/>
  <c r="I68" i="4" s="1"/>
  <c r="H68" i="7"/>
  <c r="G68" i="7"/>
  <c r="F68" i="7"/>
  <c r="E68" i="7"/>
  <c r="E68" i="4" s="1"/>
  <c r="D68" i="7"/>
  <c r="O67" i="7"/>
  <c r="O67" i="4" s="1"/>
  <c r="N67" i="7"/>
  <c r="N67" i="4" s="1"/>
  <c r="M67" i="7"/>
  <c r="M67" i="4" s="1"/>
  <c r="L67" i="7"/>
  <c r="L67" i="4" s="1"/>
  <c r="K67" i="7"/>
  <c r="K67" i="4" s="1"/>
  <c r="J67" i="7"/>
  <c r="J67" i="4" s="1"/>
  <c r="I67" i="7"/>
  <c r="I67" i="4" s="1"/>
  <c r="H67" i="7"/>
  <c r="G67" i="7"/>
  <c r="F67" i="7"/>
  <c r="E67" i="7"/>
  <c r="E67" i="4" s="1"/>
  <c r="D67" i="7"/>
  <c r="O66" i="7"/>
  <c r="N66" i="7"/>
  <c r="N66" i="4" s="1"/>
  <c r="M66" i="7"/>
  <c r="L66" i="7"/>
  <c r="L66" i="4" s="1"/>
  <c r="K66" i="7"/>
  <c r="J66" i="7"/>
  <c r="J66" i="4" s="1"/>
  <c r="I66" i="7"/>
  <c r="I66" i="4" s="1"/>
  <c r="H66" i="7"/>
  <c r="G66" i="7"/>
  <c r="F66" i="7"/>
  <c r="E66" i="7"/>
  <c r="E66" i="4" s="1"/>
  <c r="D66" i="7"/>
  <c r="O65" i="7"/>
  <c r="O65" i="4" s="1"/>
  <c r="N65" i="7"/>
  <c r="M65" i="7"/>
  <c r="M65" i="4" s="1"/>
  <c r="L65" i="7"/>
  <c r="L65" i="4" s="1"/>
  <c r="K65" i="7"/>
  <c r="K65" i="4" s="1"/>
  <c r="J65" i="7"/>
  <c r="J65" i="4" s="1"/>
  <c r="I65" i="7"/>
  <c r="I65" i="4" s="1"/>
  <c r="H65" i="7"/>
  <c r="G65" i="7"/>
  <c r="F65" i="7"/>
  <c r="E65" i="7"/>
  <c r="E65" i="4" s="1"/>
  <c r="D65" i="7"/>
  <c r="O64" i="7"/>
  <c r="O64" i="4" s="1"/>
  <c r="N64" i="7"/>
  <c r="N64" i="4" s="1"/>
  <c r="M64" i="7"/>
  <c r="M64" i="4" s="1"/>
  <c r="L64" i="7"/>
  <c r="L64" i="4" s="1"/>
  <c r="K64" i="7"/>
  <c r="K64" i="4" s="1"/>
  <c r="J64" i="7"/>
  <c r="J64" i="4" s="1"/>
  <c r="I64" i="7"/>
  <c r="I64" i="4" s="1"/>
  <c r="H64" i="7"/>
  <c r="G64" i="7"/>
  <c r="F64" i="7"/>
  <c r="E64" i="7"/>
  <c r="E64" i="4" s="1"/>
  <c r="D64" i="7"/>
  <c r="O63" i="7"/>
  <c r="N63" i="7"/>
  <c r="M63" i="7"/>
  <c r="L63" i="7"/>
  <c r="K63" i="7"/>
  <c r="J63" i="7"/>
  <c r="I63" i="7"/>
  <c r="I63" i="4" s="1"/>
  <c r="H63" i="7"/>
  <c r="G63" i="7"/>
  <c r="F63" i="7"/>
  <c r="E63" i="7"/>
  <c r="E63" i="4" s="1"/>
  <c r="D63" i="7"/>
  <c r="D63" i="4" s="1"/>
  <c r="O62" i="7"/>
  <c r="O62" i="4" s="1"/>
  <c r="N62" i="7"/>
  <c r="N62" i="4" s="1"/>
  <c r="M62" i="7"/>
  <c r="M62" i="4" s="1"/>
  <c r="L62" i="7"/>
  <c r="L62" i="4" s="1"/>
  <c r="K62" i="7"/>
  <c r="K62" i="4" s="1"/>
  <c r="J62" i="7"/>
  <c r="J62" i="4" s="1"/>
  <c r="I62" i="7"/>
  <c r="I62" i="4" s="1"/>
  <c r="H62" i="7"/>
  <c r="G62" i="7"/>
  <c r="F62" i="7"/>
  <c r="E62" i="7"/>
  <c r="E62" i="4" s="1"/>
  <c r="D62" i="7"/>
  <c r="O61" i="7"/>
  <c r="O61" i="4" s="1"/>
  <c r="N61" i="7"/>
  <c r="N61" i="4" s="1"/>
  <c r="M61" i="7"/>
  <c r="M61" i="4" s="1"/>
  <c r="L61" i="7"/>
  <c r="L61" i="4" s="1"/>
  <c r="K61" i="7"/>
  <c r="K61" i="4" s="1"/>
  <c r="J61" i="7"/>
  <c r="J61" i="4" s="1"/>
  <c r="I61" i="7"/>
  <c r="I61" i="4" s="1"/>
  <c r="H61" i="7"/>
  <c r="G61" i="7"/>
  <c r="F61" i="7"/>
  <c r="E61" i="7"/>
  <c r="E61" i="4" s="1"/>
  <c r="D61" i="7"/>
  <c r="O60" i="7"/>
  <c r="O60" i="4" s="1"/>
  <c r="N60" i="7"/>
  <c r="N60" i="4" s="1"/>
  <c r="M60" i="7"/>
  <c r="M60" i="4" s="1"/>
  <c r="L60" i="7"/>
  <c r="L60" i="4" s="1"/>
  <c r="K60" i="7"/>
  <c r="K60" i="4" s="1"/>
  <c r="J60" i="7"/>
  <c r="J60" i="4" s="1"/>
  <c r="I60" i="7"/>
  <c r="I60" i="4" s="1"/>
  <c r="H60" i="7"/>
  <c r="G60" i="7"/>
  <c r="F60" i="7"/>
  <c r="E60" i="7"/>
  <c r="E60" i="4" s="1"/>
  <c r="D60" i="7"/>
  <c r="O59" i="7"/>
  <c r="O59" i="4" s="1"/>
  <c r="N59" i="7"/>
  <c r="N59" i="4" s="1"/>
  <c r="M59" i="7"/>
  <c r="M59" i="4" s="1"/>
  <c r="L59" i="7"/>
  <c r="L59" i="4" s="1"/>
  <c r="K59" i="7"/>
  <c r="K59" i="4" s="1"/>
  <c r="J59" i="7"/>
  <c r="J59" i="4" s="1"/>
  <c r="I59" i="7"/>
  <c r="I59" i="4" s="1"/>
  <c r="H59" i="7"/>
  <c r="G59" i="7"/>
  <c r="F59" i="7"/>
  <c r="E59" i="7"/>
  <c r="E59" i="4" s="1"/>
  <c r="D59" i="7"/>
  <c r="O58" i="7"/>
  <c r="O58" i="4" s="1"/>
  <c r="N58" i="7"/>
  <c r="N58" i="4" s="1"/>
  <c r="M58" i="7"/>
  <c r="M58" i="4" s="1"/>
  <c r="L58" i="7"/>
  <c r="L58" i="4" s="1"/>
  <c r="K58" i="7"/>
  <c r="K58" i="4" s="1"/>
  <c r="J58" i="7"/>
  <c r="J58" i="4" s="1"/>
  <c r="I58" i="7"/>
  <c r="I58" i="4" s="1"/>
  <c r="H58" i="7"/>
  <c r="G58" i="7"/>
  <c r="F58" i="7"/>
  <c r="E58" i="7"/>
  <c r="E58" i="4" s="1"/>
  <c r="D58" i="7"/>
  <c r="O57" i="7"/>
  <c r="N57" i="7"/>
  <c r="M57" i="7"/>
  <c r="L57" i="7"/>
  <c r="K57" i="7"/>
  <c r="K57" i="4" s="1"/>
  <c r="J57" i="7"/>
  <c r="J57" i="4" s="1"/>
  <c r="I57" i="7"/>
  <c r="I57" i="4" s="1"/>
  <c r="H57" i="7"/>
  <c r="G57" i="7"/>
  <c r="F57" i="7"/>
  <c r="E57" i="7"/>
  <c r="E57" i="4" s="1"/>
  <c r="D57" i="7"/>
  <c r="O56" i="7"/>
  <c r="O56" i="4" s="1"/>
  <c r="N56" i="7"/>
  <c r="N56" i="4" s="1"/>
  <c r="M56" i="7"/>
  <c r="M56" i="4" s="1"/>
  <c r="L56" i="7"/>
  <c r="K56" i="7"/>
  <c r="K56" i="4" s="1"/>
  <c r="J56" i="7"/>
  <c r="J56" i="4" s="1"/>
  <c r="I56" i="7"/>
  <c r="H56" i="7"/>
  <c r="G56" i="7"/>
  <c r="F56" i="7"/>
  <c r="O55" i="7"/>
  <c r="N55" i="7"/>
  <c r="M55" i="7"/>
  <c r="L55" i="7"/>
  <c r="K55" i="7"/>
  <c r="J55" i="7"/>
  <c r="I55" i="7"/>
  <c r="I55" i="4" s="1"/>
  <c r="H55" i="7"/>
  <c r="G55" i="7"/>
  <c r="F55" i="7"/>
  <c r="E55" i="7"/>
  <c r="D55" i="7"/>
  <c r="O52" i="7"/>
  <c r="N52" i="7"/>
  <c r="M52" i="7"/>
  <c r="L52" i="7"/>
  <c r="K52" i="7"/>
  <c r="J52" i="7"/>
  <c r="I52" i="7"/>
  <c r="H52" i="7"/>
  <c r="G52" i="7"/>
  <c r="F52" i="7"/>
  <c r="E52" i="7"/>
  <c r="D52" i="7"/>
  <c r="O51" i="7"/>
  <c r="O51" i="4" s="1"/>
  <c r="N51" i="7"/>
  <c r="N51" i="4" s="1"/>
  <c r="M51" i="7"/>
  <c r="L51" i="7"/>
  <c r="L51" i="4" s="1"/>
  <c r="K51" i="7"/>
  <c r="K51" i="4" s="1"/>
  <c r="J51" i="7"/>
  <c r="J51" i="4" s="1"/>
  <c r="I51" i="7"/>
  <c r="I51" i="4" s="1"/>
  <c r="H51" i="7"/>
  <c r="G51" i="7"/>
  <c r="F51" i="7"/>
  <c r="E51" i="7"/>
  <c r="E51" i="4" s="1"/>
  <c r="D51" i="7"/>
  <c r="O49" i="7"/>
  <c r="O49" i="4" s="1"/>
  <c r="N49" i="7"/>
  <c r="N49" i="4" s="1"/>
  <c r="M49" i="7"/>
  <c r="M49" i="4" s="1"/>
  <c r="L49" i="7"/>
  <c r="L49" i="4" s="1"/>
  <c r="K49" i="7"/>
  <c r="K49" i="4" s="1"/>
  <c r="J49" i="7"/>
  <c r="J49" i="4" s="1"/>
  <c r="I49" i="7"/>
  <c r="I49" i="4" s="1"/>
  <c r="H49" i="7"/>
  <c r="G49" i="7"/>
  <c r="F49" i="7"/>
  <c r="E49" i="7"/>
  <c r="E49" i="4" s="1"/>
  <c r="D49" i="7"/>
  <c r="O48" i="7"/>
  <c r="O48" i="4" s="1"/>
  <c r="N48" i="7"/>
  <c r="N48" i="4" s="1"/>
  <c r="M48" i="7"/>
  <c r="M48" i="4" s="1"/>
  <c r="L48" i="7"/>
  <c r="L48" i="4" s="1"/>
  <c r="K48" i="7"/>
  <c r="J48" i="7"/>
  <c r="J48" i="4" s="1"/>
  <c r="I48" i="7"/>
  <c r="I48" i="4" s="1"/>
  <c r="H48" i="7"/>
  <c r="G48" i="7"/>
  <c r="F48" i="7"/>
  <c r="E48" i="7"/>
  <c r="E48" i="4" s="1"/>
  <c r="D48" i="7"/>
  <c r="O47" i="7"/>
  <c r="O47" i="4" s="1"/>
  <c r="N47" i="7"/>
  <c r="N47" i="4" s="1"/>
  <c r="M47" i="7"/>
  <c r="M47" i="4" s="1"/>
  <c r="L47" i="7"/>
  <c r="L47" i="4" s="1"/>
  <c r="K47" i="7"/>
  <c r="K47" i="4" s="1"/>
  <c r="J47" i="7"/>
  <c r="J47" i="4" s="1"/>
  <c r="I47" i="7"/>
  <c r="I47" i="4" s="1"/>
  <c r="H47" i="7"/>
  <c r="G47" i="7"/>
  <c r="F47" i="7"/>
  <c r="E47" i="7"/>
  <c r="E47" i="4" s="1"/>
  <c r="D47" i="7"/>
  <c r="O46" i="7"/>
  <c r="O46" i="4" s="1"/>
  <c r="N46" i="7"/>
  <c r="N46" i="4" s="1"/>
  <c r="M46" i="7"/>
  <c r="M46" i="4" s="1"/>
  <c r="L46" i="7"/>
  <c r="L46" i="4" s="1"/>
  <c r="K46" i="7"/>
  <c r="K46" i="4" s="1"/>
  <c r="J46" i="7"/>
  <c r="J46" i="4" s="1"/>
  <c r="I46" i="7"/>
  <c r="I46" i="4" s="1"/>
  <c r="H46" i="7"/>
  <c r="G46" i="7"/>
  <c r="F46" i="7"/>
  <c r="E46" i="7"/>
  <c r="E46" i="4" s="1"/>
  <c r="D46" i="7"/>
  <c r="O45" i="7"/>
  <c r="O45" i="4" s="1"/>
  <c r="N45" i="7"/>
  <c r="N45" i="4" s="1"/>
  <c r="M45" i="7"/>
  <c r="M45" i="4" s="1"/>
  <c r="L45" i="7"/>
  <c r="L45" i="4" s="1"/>
  <c r="K45" i="7"/>
  <c r="K45" i="4" s="1"/>
  <c r="J45" i="7"/>
  <c r="J45" i="4" s="1"/>
  <c r="I45" i="7"/>
  <c r="I45" i="4" s="1"/>
  <c r="H45" i="7"/>
  <c r="G45" i="7"/>
  <c r="F45" i="7"/>
  <c r="E45" i="7"/>
  <c r="D45" i="7"/>
  <c r="O42" i="7"/>
  <c r="N42" i="7"/>
  <c r="M42" i="7"/>
  <c r="L42" i="7"/>
  <c r="K42" i="7"/>
  <c r="J42" i="7"/>
  <c r="I42" i="7"/>
  <c r="H42" i="7"/>
  <c r="G42" i="7"/>
  <c r="F42" i="7"/>
  <c r="E42" i="7"/>
  <c r="D42" i="7"/>
  <c r="O41" i="7"/>
  <c r="N41" i="7"/>
  <c r="M41" i="7"/>
  <c r="L41" i="7"/>
  <c r="K41" i="7"/>
  <c r="J41" i="7"/>
  <c r="I41" i="7"/>
  <c r="H41" i="7"/>
  <c r="G41" i="7"/>
  <c r="F41" i="7"/>
  <c r="E41" i="7"/>
  <c r="D41" i="7"/>
  <c r="O40" i="7"/>
  <c r="N40" i="7"/>
  <c r="M40" i="7"/>
  <c r="L40" i="7"/>
  <c r="K40" i="7"/>
  <c r="J40" i="7"/>
  <c r="I40" i="7"/>
  <c r="H40" i="7"/>
  <c r="G40" i="7"/>
  <c r="F40" i="7"/>
  <c r="E40" i="7"/>
  <c r="D40" i="7"/>
  <c r="O39" i="7"/>
  <c r="N39" i="7"/>
  <c r="M39" i="7"/>
  <c r="L39" i="7"/>
  <c r="K39" i="7"/>
  <c r="J39" i="7"/>
  <c r="I39" i="7"/>
  <c r="H39" i="7"/>
  <c r="G39" i="7"/>
  <c r="F39" i="7"/>
  <c r="E39" i="7"/>
  <c r="D39" i="7"/>
  <c r="O38" i="7"/>
  <c r="O38" i="4" s="1"/>
  <c r="N38" i="7"/>
  <c r="N38" i="4" s="1"/>
  <c r="M38" i="7"/>
  <c r="M38" i="4" s="1"/>
  <c r="L38" i="7"/>
  <c r="L38" i="4" s="1"/>
  <c r="K38" i="7"/>
  <c r="K38" i="4" s="1"/>
  <c r="J38" i="7"/>
  <c r="J38" i="4" s="1"/>
  <c r="I38" i="7"/>
  <c r="H38" i="7"/>
  <c r="G38" i="7"/>
  <c r="F38" i="7"/>
  <c r="E38" i="7"/>
  <c r="D38" i="7"/>
  <c r="O37" i="7"/>
  <c r="N37" i="7"/>
  <c r="M37" i="7"/>
  <c r="L37" i="7"/>
  <c r="K37" i="7"/>
  <c r="J37" i="7"/>
  <c r="I37" i="7"/>
  <c r="H37" i="7"/>
  <c r="G37" i="7"/>
  <c r="F37" i="7"/>
  <c r="E37" i="7"/>
  <c r="D37" i="7"/>
  <c r="O36" i="7"/>
  <c r="N36" i="7"/>
  <c r="M36" i="7"/>
  <c r="L36" i="7"/>
  <c r="K36" i="7"/>
  <c r="J36" i="7"/>
  <c r="I36" i="7"/>
  <c r="H36" i="7"/>
  <c r="G36" i="7"/>
  <c r="F36" i="7"/>
  <c r="E36" i="7"/>
  <c r="D36" i="7"/>
  <c r="O35" i="7"/>
  <c r="O43" i="7" s="1"/>
  <c r="N35" i="7"/>
  <c r="M35" i="7"/>
  <c r="L35" i="7"/>
  <c r="K35" i="7"/>
  <c r="J35" i="7"/>
  <c r="H35" i="7"/>
  <c r="G35" i="7"/>
  <c r="F35" i="7"/>
  <c r="E35" i="7"/>
  <c r="D35" i="7"/>
  <c r="O25" i="7"/>
  <c r="O25" i="4" s="1"/>
  <c r="N25" i="7"/>
  <c r="N25" i="4" s="1"/>
  <c r="M25" i="7"/>
  <c r="M25" i="4" s="1"/>
  <c r="L25" i="7"/>
  <c r="L25" i="4" s="1"/>
  <c r="K25" i="7"/>
  <c r="K25" i="4" s="1"/>
  <c r="J25" i="7"/>
  <c r="J25" i="4" s="1"/>
  <c r="I25" i="7"/>
  <c r="I25" i="4" s="1"/>
  <c r="H25" i="7"/>
  <c r="H25" i="4" s="1"/>
  <c r="G25" i="7"/>
  <c r="G25" i="4" s="1"/>
  <c r="F25" i="7"/>
  <c r="F25" i="4" s="1"/>
  <c r="E25" i="7"/>
  <c r="E25" i="4" s="1"/>
  <c r="D25" i="7"/>
  <c r="O24" i="7"/>
  <c r="O24" i="4" s="1"/>
  <c r="N24" i="7"/>
  <c r="N24" i="4" s="1"/>
  <c r="M24" i="7"/>
  <c r="L24" i="7"/>
  <c r="L24" i="4" s="1"/>
  <c r="K24" i="7"/>
  <c r="K24" i="4" s="1"/>
  <c r="J24" i="7"/>
  <c r="I24" i="7"/>
  <c r="H24" i="7"/>
  <c r="G24" i="7"/>
  <c r="F24" i="7"/>
  <c r="E24" i="7"/>
  <c r="D24" i="7"/>
  <c r="O23" i="7"/>
  <c r="O23" i="4" s="1"/>
  <c r="N23" i="7"/>
  <c r="M23" i="7"/>
  <c r="L23" i="7"/>
  <c r="L23" i="4" s="1"/>
  <c r="K23" i="7"/>
  <c r="K23" i="4" s="1"/>
  <c r="J23" i="7"/>
  <c r="I23" i="7"/>
  <c r="H23" i="7"/>
  <c r="G23" i="7"/>
  <c r="F23" i="7"/>
  <c r="E23" i="7"/>
  <c r="D23" i="7"/>
  <c r="O22" i="7"/>
  <c r="O22" i="4" s="1"/>
  <c r="N22" i="7"/>
  <c r="M22" i="7"/>
  <c r="L22" i="7"/>
  <c r="L22" i="4" s="1"/>
  <c r="K22" i="7"/>
  <c r="K22" i="4" s="1"/>
  <c r="J22" i="7"/>
  <c r="J22" i="4" s="1"/>
  <c r="I22" i="7"/>
  <c r="H22" i="7"/>
  <c r="G22" i="7"/>
  <c r="F22" i="7"/>
  <c r="E22" i="7"/>
  <c r="D22" i="7"/>
  <c r="O21" i="7"/>
  <c r="O21" i="4" s="1"/>
  <c r="N21" i="7"/>
  <c r="M21" i="7"/>
  <c r="L21" i="7"/>
  <c r="L21" i="4" s="1"/>
  <c r="K21" i="7"/>
  <c r="K21" i="4" s="1"/>
  <c r="J21" i="7"/>
  <c r="I21" i="7"/>
  <c r="H21" i="7"/>
  <c r="G21" i="7"/>
  <c r="F21" i="7"/>
  <c r="E21" i="7"/>
  <c r="D21" i="7"/>
  <c r="O20" i="7"/>
  <c r="O20" i="4" s="1"/>
  <c r="N20" i="7"/>
  <c r="N26" i="7" s="1"/>
  <c r="M20" i="7"/>
  <c r="L20" i="7"/>
  <c r="K20" i="7"/>
  <c r="J20" i="7"/>
  <c r="J26" i="7" s="1"/>
  <c r="I20" i="7"/>
  <c r="I26" i="7" s="1"/>
  <c r="H20" i="7"/>
  <c r="H26" i="7" s="1"/>
  <c r="G20" i="7"/>
  <c r="G26" i="7" s="1"/>
  <c r="F20" i="7"/>
  <c r="E20" i="7"/>
  <c r="E26" i="7" s="1"/>
  <c r="D20" i="7"/>
  <c r="O17" i="7"/>
  <c r="O17" i="4" s="1"/>
  <c r="N17" i="7"/>
  <c r="N17" i="4" s="1"/>
  <c r="M17" i="7"/>
  <c r="M17" i="4" s="1"/>
  <c r="L17" i="7"/>
  <c r="L17" i="4" s="1"/>
  <c r="K17" i="7"/>
  <c r="J17" i="7"/>
  <c r="I17" i="7"/>
  <c r="I17" i="4" s="1"/>
  <c r="H17" i="7"/>
  <c r="G17" i="7"/>
  <c r="F17" i="7"/>
  <c r="F17" i="4" s="1"/>
  <c r="E17" i="7"/>
  <c r="E17" i="4" s="1"/>
  <c r="D17" i="7"/>
  <c r="O16" i="7"/>
  <c r="O16" i="4" s="1"/>
  <c r="N16" i="7"/>
  <c r="M16" i="7"/>
  <c r="M16" i="4" s="1"/>
  <c r="L16" i="7"/>
  <c r="K16" i="7"/>
  <c r="K16" i="4" s="1"/>
  <c r="J16" i="7"/>
  <c r="I16" i="7"/>
  <c r="I16" i="4" s="1"/>
  <c r="H16" i="7"/>
  <c r="G16" i="7"/>
  <c r="F16" i="7"/>
  <c r="F16" i="4" s="1"/>
  <c r="E16" i="7"/>
  <c r="E16" i="4" s="1"/>
  <c r="D16" i="7"/>
  <c r="O15" i="7"/>
  <c r="O15" i="4" s="1"/>
  <c r="N15" i="7"/>
  <c r="N15" i="4" s="1"/>
  <c r="M15" i="7"/>
  <c r="M15" i="4" s="1"/>
  <c r="L15" i="7"/>
  <c r="L15" i="4" s="1"/>
  <c r="K15" i="7"/>
  <c r="K15" i="4" s="1"/>
  <c r="J15" i="7"/>
  <c r="J15" i="4" s="1"/>
  <c r="I15" i="7"/>
  <c r="I15" i="4" s="1"/>
  <c r="H15" i="7"/>
  <c r="G15" i="7"/>
  <c r="F15" i="7"/>
  <c r="E15" i="7"/>
  <c r="E15" i="4" s="1"/>
  <c r="D15" i="7"/>
  <c r="O14" i="7"/>
  <c r="O14" i="4" s="1"/>
  <c r="N14" i="7"/>
  <c r="M14" i="7"/>
  <c r="L14" i="7"/>
  <c r="K14" i="7"/>
  <c r="K18" i="7" s="1"/>
  <c r="J14" i="7"/>
  <c r="J14" i="4" s="1"/>
  <c r="I14" i="7"/>
  <c r="I14" i="4" s="1"/>
  <c r="H14" i="7"/>
  <c r="G14" i="7"/>
  <c r="G18" i="7" s="1"/>
  <c r="F14" i="7"/>
  <c r="E14" i="7"/>
  <c r="E14" i="4" s="1"/>
  <c r="D14" i="7"/>
  <c r="O11" i="7"/>
  <c r="N11" i="7"/>
  <c r="M11" i="7"/>
  <c r="L11" i="7"/>
  <c r="K11" i="7"/>
  <c r="J11" i="7"/>
  <c r="I11" i="7"/>
  <c r="H11" i="7"/>
  <c r="G11" i="7"/>
  <c r="F11" i="7"/>
  <c r="E11" i="7"/>
  <c r="D11" i="7"/>
  <c r="O7" i="7"/>
  <c r="O7" i="4" s="1"/>
  <c r="N7" i="7"/>
  <c r="N7" i="4" s="1"/>
  <c r="M7" i="7"/>
  <c r="M7" i="4" s="1"/>
  <c r="L7" i="7"/>
  <c r="L7" i="4" s="1"/>
  <c r="K7" i="7"/>
  <c r="K7" i="4" s="1"/>
  <c r="J7" i="7"/>
  <c r="J7" i="4" s="1"/>
  <c r="I7" i="7"/>
  <c r="I7" i="4" s="1"/>
  <c r="H7" i="7"/>
  <c r="H7" i="4" s="1"/>
  <c r="F7" i="7"/>
  <c r="E7" i="7"/>
  <c r="D7" i="7"/>
  <c r="P104" i="2"/>
  <c r="F105" i="1" s="1"/>
  <c r="P102" i="2"/>
  <c r="F103" i="1" s="1"/>
  <c r="P100" i="2"/>
  <c r="F101" i="1" s="1"/>
  <c r="P98" i="2"/>
  <c r="F99" i="1" s="1"/>
  <c r="P97" i="2"/>
  <c r="F98" i="1" s="1"/>
  <c r="P96" i="2"/>
  <c r="F97" i="1" s="1"/>
  <c r="P94" i="2"/>
  <c r="F95" i="1" s="1"/>
  <c r="P93" i="2"/>
  <c r="F94" i="1" s="1"/>
  <c r="P90" i="2"/>
  <c r="F91" i="1" s="1"/>
  <c r="O105" i="2"/>
  <c r="N105" i="2"/>
  <c r="P88" i="2"/>
  <c r="F89" i="1" s="1"/>
  <c r="M105" i="2"/>
  <c r="L105" i="2"/>
  <c r="P86" i="2"/>
  <c r="F87" i="1" s="1"/>
  <c r="P83" i="2"/>
  <c r="F84" i="1" s="1"/>
  <c r="P82" i="2"/>
  <c r="F83" i="1" s="1"/>
  <c r="P81" i="2"/>
  <c r="F82" i="1" s="1"/>
  <c r="P80" i="2"/>
  <c r="F81" i="1" s="1"/>
  <c r="P78" i="2"/>
  <c r="F79" i="1" s="1"/>
  <c r="P77" i="2"/>
  <c r="F78" i="1" s="1"/>
  <c r="P76" i="2"/>
  <c r="F77" i="1" s="1"/>
  <c r="P74" i="2"/>
  <c r="F75" i="1" s="1"/>
  <c r="P73" i="2"/>
  <c r="F74" i="1" s="1"/>
  <c r="P72" i="2"/>
  <c r="F73" i="1" s="1"/>
  <c r="P70" i="2"/>
  <c r="F71" i="1" s="1"/>
  <c r="P68" i="2"/>
  <c r="F69" i="1" s="1"/>
  <c r="P65" i="2"/>
  <c r="F66" i="1" s="1"/>
  <c r="P64" i="2"/>
  <c r="F65" i="1" s="1"/>
  <c r="P62" i="2"/>
  <c r="F63" i="1" s="1"/>
  <c r="P61" i="2"/>
  <c r="F62" i="1" s="1"/>
  <c r="P60" i="2"/>
  <c r="F61" i="1" s="1"/>
  <c r="L84" i="2"/>
  <c r="P56" i="2"/>
  <c r="F57" i="1" s="1"/>
  <c r="P31" i="2"/>
  <c r="F31" i="1" s="1"/>
  <c r="P30" i="2"/>
  <c r="F30" i="1" s="1"/>
  <c r="O28" i="4"/>
  <c r="F25" i="1"/>
  <c r="F23" i="1"/>
  <c r="F22" i="1"/>
  <c r="F21" i="1"/>
  <c r="O26" i="2"/>
  <c r="M26" i="2"/>
  <c r="L26" i="2"/>
  <c r="K26" i="2"/>
  <c r="P17" i="2"/>
  <c r="F17" i="1" s="1"/>
  <c r="L18" i="2"/>
  <c r="F11" i="1"/>
  <c r="O105" i="3"/>
  <c r="N105" i="3"/>
  <c r="M105" i="3"/>
  <c r="L105" i="3"/>
  <c r="K105" i="3"/>
  <c r="J105" i="3"/>
  <c r="P104" i="3"/>
  <c r="L105" i="1" s="1"/>
  <c r="P103" i="3"/>
  <c r="L104" i="1" s="1"/>
  <c r="P102" i="3"/>
  <c r="L103" i="1" s="1"/>
  <c r="P101" i="3"/>
  <c r="L102" i="1" s="1"/>
  <c r="P100" i="3"/>
  <c r="L101" i="1" s="1"/>
  <c r="P99" i="3"/>
  <c r="L100" i="1" s="1"/>
  <c r="P98" i="3"/>
  <c r="L99" i="1" s="1"/>
  <c r="P97" i="3"/>
  <c r="L98" i="1" s="1"/>
  <c r="P96" i="3"/>
  <c r="L97" i="1" s="1"/>
  <c r="P95" i="3"/>
  <c r="L96" i="1" s="1"/>
  <c r="P94" i="3"/>
  <c r="P93" i="3"/>
  <c r="P92" i="3"/>
  <c r="L93" i="1" s="1"/>
  <c r="P91" i="3"/>
  <c r="L92" i="1" s="1"/>
  <c r="P90" i="3"/>
  <c r="L91" i="1" s="1"/>
  <c r="P89" i="3"/>
  <c r="L90" i="1" s="1"/>
  <c r="P88" i="3"/>
  <c r="L89" i="1" s="1"/>
  <c r="P87" i="3"/>
  <c r="L88" i="1" s="1"/>
  <c r="P86" i="3"/>
  <c r="L87" i="1" s="1"/>
  <c r="O84" i="3"/>
  <c r="N84" i="3"/>
  <c r="M84" i="3"/>
  <c r="L84" i="3"/>
  <c r="K84" i="3"/>
  <c r="J84" i="3"/>
  <c r="P83" i="3"/>
  <c r="L84" i="1" s="1"/>
  <c r="P82" i="3"/>
  <c r="L83" i="1" s="1"/>
  <c r="P81" i="3"/>
  <c r="L82" i="1" s="1"/>
  <c r="P80" i="3"/>
  <c r="L81" i="1" s="1"/>
  <c r="P79" i="3"/>
  <c r="L80" i="1" s="1"/>
  <c r="P78" i="3"/>
  <c r="L79" i="1" s="1"/>
  <c r="P77" i="3"/>
  <c r="L78" i="1" s="1"/>
  <c r="P76" i="3"/>
  <c r="L77" i="1" s="1"/>
  <c r="P75" i="3"/>
  <c r="L76" i="1" s="1"/>
  <c r="P74" i="3"/>
  <c r="L75" i="1" s="1"/>
  <c r="P73" i="3"/>
  <c r="L74" i="1" s="1"/>
  <c r="P72" i="3"/>
  <c r="L73" i="1" s="1"/>
  <c r="P71" i="3"/>
  <c r="L72" i="1" s="1"/>
  <c r="P70" i="3"/>
  <c r="L71" i="1" s="1"/>
  <c r="P69" i="3"/>
  <c r="L70" i="1" s="1"/>
  <c r="P68" i="3"/>
  <c r="L69" i="1" s="1"/>
  <c r="P67" i="3"/>
  <c r="L68" i="1" s="1"/>
  <c r="P66" i="3"/>
  <c r="L67" i="1" s="1"/>
  <c r="P65" i="3"/>
  <c r="L66" i="1" s="1"/>
  <c r="P64" i="3"/>
  <c r="L65" i="1" s="1"/>
  <c r="P63" i="3"/>
  <c r="L64" i="1" s="1"/>
  <c r="P62" i="3"/>
  <c r="L63" i="1" s="1"/>
  <c r="P61" i="3"/>
  <c r="L62" i="1" s="1"/>
  <c r="P60" i="3"/>
  <c r="L61" i="1" s="1"/>
  <c r="P59" i="3"/>
  <c r="L60" i="1" s="1"/>
  <c r="P58" i="3"/>
  <c r="L59" i="1" s="1"/>
  <c r="P57" i="3"/>
  <c r="L58" i="1" s="1"/>
  <c r="P56" i="3"/>
  <c r="P55" i="3"/>
  <c r="L56" i="1" s="1"/>
  <c r="O53" i="3"/>
  <c r="N53" i="3"/>
  <c r="M53" i="3"/>
  <c r="L53" i="3"/>
  <c r="K53" i="3"/>
  <c r="J53" i="3"/>
  <c r="P52" i="3"/>
  <c r="L53" i="1" s="1"/>
  <c r="P51" i="3"/>
  <c r="L51" i="1" s="1"/>
  <c r="P49" i="3"/>
  <c r="L49" i="1" s="1"/>
  <c r="P48" i="3"/>
  <c r="L48" i="1" s="1"/>
  <c r="P47" i="3"/>
  <c r="L47" i="1" s="1"/>
  <c r="P46" i="3"/>
  <c r="P45" i="3"/>
  <c r="L45" i="1" s="1"/>
  <c r="O43" i="3"/>
  <c r="N43" i="3"/>
  <c r="M43" i="3"/>
  <c r="L43" i="3"/>
  <c r="K43" i="3"/>
  <c r="P42" i="3"/>
  <c r="L42" i="1" s="1"/>
  <c r="P38" i="3"/>
  <c r="L38" i="1" s="1"/>
  <c r="P31" i="3"/>
  <c r="L31" i="1" s="1"/>
  <c r="P30" i="3"/>
  <c r="L30" i="1" s="1"/>
  <c r="P29" i="3"/>
  <c r="L29" i="1" s="1"/>
  <c r="P28" i="3"/>
  <c r="L28" i="1" s="1"/>
  <c r="O26" i="3"/>
  <c r="N26" i="3"/>
  <c r="M26" i="3"/>
  <c r="L26" i="3"/>
  <c r="K26" i="3"/>
  <c r="J26" i="3"/>
  <c r="P25" i="3"/>
  <c r="L25" i="1" s="1"/>
  <c r="P24" i="3"/>
  <c r="L24" i="1" s="1"/>
  <c r="P23" i="3"/>
  <c r="L23" i="1" s="1"/>
  <c r="P22" i="3"/>
  <c r="L22" i="1" s="1"/>
  <c r="P21" i="3"/>
  <c r="L21" i="1" s="1"/>
  <c r="P20" i="3"/>
  <c r="L20" i="1" s="1"/>
  <c r="O18" i="3"/>
  <c r="N18" i="3"/>
  <c r="M18" i="3"/>
  <c r="L18" i="3"/>
  <c r="K18" i="3"/>
  <c r="J18" i="3"/>
  <c r="P17" i="3"/>
  <c r="L17" i="1" s="1"/>
  <c r="P16" i="3"/>
  <c r="L16" i="1" s="1"/>
  <c r="P15" i="3"/>
  <c r="L15" i="1" s="1"/>
  <c r="P14" i="3"/>
  <c r="L14" i="1" s="1"/>
  <c r="O12" i="3"/>
  <c r="N12" i="3"/>
  <c r="M12" i="3"/>
  <c r="L12" i="3"/>
  <c r="K12" i="3"/>
  <c r="J12" i="3"/>
  <c r="P11" i="3"/>
  <c r="L11" i="1" s="1"/>
  <c r="P9" i="3"/>
  <c r="L9" i="1" s="1"/>
  <c r="P7" i="3"/>
  <c r="L7" i="1" s="1"/>
  <c r="P6" i="3"/>
  <c r="L6" i="1" s="1"/>
  <c r="O104" i="15"/>
  <c r="N104" i="15"/>
  <c r="M104" i="15"/>
  <c r="L104" i="15"/>
  <c r="K104" i="15"/>
  <c r="J104" i="15"/>
  <c r="P103" i="15"/>
  <c r="I105" i="1" s="1"/>
  <c r="P102" i="15"/>
  <c r="I104" i="1" s="1"/>
  <c r="P101" i="15"/>
  <c r="I103" i="1" s="1"/>
  <c r="P100" i="15"/>
  <c r="I102" i="1" s="1"/>
  <c r="P99" i="15"/>
  <c r="I101" i="1" s="1"/>
  <c r="P98" i="15"/>
  <c r="I100" i="1" s="1"/>
  <c r="P97" i="15"/>
  <c r="I99" i="1" s="1"/>
  <c r="P96" i="15"/>
  <c r="P95" i="15"/>
  <c r="I97" i="1" s="1"/>
  <c r="P94" i="15"/>
  <c r="I96" i="1" s="1"/>
  <c r="P93" i="15"/>
  <c r="P92" i="15"/>
  <c r="I94" i="1" s="1"/>
  <c r="P91" i="15"/>
  <c r="I93" i="1" s="1"/>
  <c r="P90" i="15"/>
  <c r="P89" i="15"/>
  <c r="I91" i="1" s="1"/>
  <c r="P88" i="15"/>
  <c r="P87" i="15"/>
  <c r="I89" i="1" s="1"/>
  <c r="P86" i="15"/>
  <c r="I88" i="1" s="1"/>
  <c r="P85" i="15"/>
  <c r="I87" i="1" s="1"/>
  <c r="O83" i="15"/>
  <c r="N83" i="15"/>
  <c r="M83" i="15"/>
  <c r="L83" i="15"/>
  <c r="K83" i="15"/>
  <c r="J83" i="15"/>
  <c r="P82" i="15"/>
  <c r="P81" i="15"/>
  <c r="I83" i="1" s="1"/>
  <c r="P80" i="15"/>
  <c r="I82" i="1" s="1"/>
  <c r="P79" i="15"/>
  <c r="I81" i="1" s="1"/>
  <c r="P78" i="15"/>
  <c r="I80" i="1" s="1"/>
  <c r="P77" i="15"/>
  <c r="I79" i="1" s="1"/>
  <c r="P76" i="15"/>
  <c r="I78" i="1" s="1"/>
  <c r="P75" i="15"/>
  <c r="I77" i="1" s="1"/>
  <c r="P74" i="15"/>
  <c r="I76" i="1" s="1"/>
  <c r="P73" i="15"/>
  <c r="I75" i="1" s="1"/>
  <c r="P72" i="15"/>
  <c r="I74" i="1" s="1"/>
  <c r="P71" i="15"/>
  <c r="I73" i="1" s="1"/>
  <c r="P70" i="15"/>
  <c r="I72" i="1" s="1"/>
  <c r="P69" i="15"/>
  <c r="I71" i="1" s="1"/>
  <c r="P68" i="15"/>
  <c r="I70" i="1" s="1"/>
  <c r="P67" i="15"/>
  <c r="I69" i="1" s="1"/>
  <c r="P66" i="15"/>
  <c r="I68" i="1" s="1"/>
  <c r="P65" i="15"/>
  <c r="I67" i="1" s="1"/>
  <c r="P64" i="15"/>
  <c r="I66" i="1" s="1"/>
  <c r="P63" i="15"/>
  <c r="I65" i="1" s="1"/>
  <c r="P62" i="15"/>
  <c r="I64" i="1" s="1"/>
  <c r="P61" i="15"/>
  <c r="I63" i="1" s="1"/>
  <c r="P60" i="15"/>
  <c r="I62" i="1" s="1"/>
  <c r="P59" i="15"/>
  <c r="I61" i="1" s="1"/>
  <c r="P58" i="15"/>
  <c r="P57" i="15"/>
  <c r="I59" i="1" s="1"/>
  <c r="P56" i="15"/>
  <c r="I58" i="1" s="1"/>
  <c r="P55" i="15"/>
  <c r="I57" i="1" s="1"/>
  <c r="P54" i="15"/>
  <c r="I56" i="1" s="1"/>
  <c r="O52" i="15"/>
  <c r="N52" i="15"/>
  <c r="M52" i="15"/>
  <c r="L52" i="15"/>
  <c r="K52" i="15"/>
  <c r="J52" i="15"/>
  <c r="P51" i="15"/>
  <c r="I53" i="1" s="1"/>
  <c r="P50" i="15"/>
  <c r="P49" i="15"/>
  <c r="I49" i="1" s="1"/>
  <c r="P48" i="15"/>
  <c r="I48" i="1" s="1"/>
  <c r="P47" i="15"/>
  <c r="I47" i="1" s="1"/>
  <c r="P46" i="15"/>
  <c r="P45" i="15"/>
  <c r="I45" i="1" s="1"/>
  <c r="O43" i="15"/>
  <c r="N43" i="15"/>
  <c r="M43" i="15"/>
  <c r="L43" i="15"/>
  <c r="K43" i="15"/>
  <c r="P42" i="15"/>
  <c r="I42" i="1" s="1"/>
  <c r="P38" i="15"/>
  <c r="I38" i="1" s="1"/>
  <c r="P31" i="15"/>
  <c r="I31" i="1" s="1"/>
  <c r="P30" i="15"/>
  <c r="I30" i="1" s="1"/>
  <c r="P29" i="15"/>
  <c r="I29" i="1" s="1"/>
  <c r="P28" i="15"/>
  <c r="I28" i="1" s="1"/>
  <c r="O26" i="15"/>
  <c r="N26" i="15"/>
  <c r="M26" i="15"/>
  <c r="L26" i="15"/>
  <c r="K26" i="15"/>
  <c r="J26" i="15"/>
  <c r="I26" i="15"/>
  <c r="H26" i="15"/>
  <c r="G26" i="15"/>
  <c r="F26" i="15"/>
  <c r="E26" i="15"/>
  <c r="D26" i="15"/>
  <c r="P25" i="15"/>
  <c r="I25" i="1" s="1"/>
  <c r="P24" i="15"/>
  <c r="I24" i="1" s="1"/>
  <c r="P23" i="15"/>
  <c r="I23" i="1" s="1"/>
  <c r="P22" i="15"/>
  <c r="I22" i="1" s="1"/>
  <c r="P21" i="15"/>
  <c r="I21" i="1" s="1"/>
  <c r="P20" i="15"/>
  <c r="I20" i="1" s="1"/>
  <c r="O18" i="15"/>
  <c r="N18" i="15"/>
  <c r="M18" i="15"/>
  <c r="L18" i="15"/>
  <c r="K18" i="15"/>
  <c r="J18" i="15"/>
  <c r="I18" i="15"/>
  <c r="H18" i="15"/>
  <c r="G18" i="15"/>
  <c r="F18" i="15"/>
  <c r="E18" i="15"/>
  <c r="D18" i="15"/>
  <c r="P17" i="15"/>
  <c r="I17" i="1" s="1"/>
  <c r="P16" i="15"/>
  <c r="I16" i="1" s="1"/>
  <c r="P15" i="15"/>
  <c r="I15" i="1" s="1"/>
  <c r="P14" i="15"/>
  <c r="I14" i="1" s="1"/>
  <c r="O12" i="15"/>
  <c r="N12" i="15"/>
  <c r="N32" i="15" s="1"/>
  <c r="M12" i="15"/>
  <c r="M32" i="15" s="1"/>
  <c r="L12" i="15"/>
  <c r="K12" i="15"/>
  <c r="J12" i="15"/>
  <c r="J32" i="15" s="1"/>
  <c r="I12" i="15"/>
  <c r="I32" i="15" s="1"/>
  <c r="H12" i="15"/>
  <c r="G12" i="15"/>
  <c r="F12" i="15"/>
  <c r="F32" i="15" s="1"/>
  <c r="E12" i="15"/>
  <c r="E32" i="15" s="1"/>
  <c r="D12" i="15"/>
  <c r="P11" i="15"/>
  <c r="I11" i="1" s="1"/>
  <c r="P9" i="15"/>
  <c r="I9" i="1" s="1"/>
  <c r="P7" i="15"/>
  <c r="I7" i="1" s="1"/>
  <c r="P6" i="15"/>
  <c r="J79" i="1"/>
  <c r="J56" i="1"/>
  <c r="J38" i="1"/>
  <c r="J24" i="1"/>
  <c r="J23" i="1"/>
  <c r="J22" i="1"/>
  <c r="J21" i="1"/>
  <c r="O105" i="17"/>
  <c r="N105" i="17"/>
  <c r="M105" i="17"/>
  <c r="L105" i="17"/>
  <c r="K105" i="17"/>
  <c r="J105" i="17"/>
  <c r="P104" i="17"/>
  <c r="K105" i="1" s="1"/>
  <c r="P103" i="17"/>
  <c r="K104" i="1" s="1"/>
  <c r="P102" i="17"/>
  <c r="K103" i="1" s="1"/>
  <c r="P101" i="17"/>
  <c r="K102" i="1" s="1"/>
  <c r="P100" i="17"/>
  <c r="K101" i="1" s="1"/>
  <c r="P99" i="17"/>
  <c r="K100" i="1" s="1"/>
  <c r="P98" i="17"/>
  <c r="K99" i="1" s="1"/>
  <c r="P97" i="17"/>
  <c r="K98" i="1" s="1"/>
  <c r="P96" i="17"/>
  <c r="K97" i="1" s="1"/>
  <c r="P95" i="17"/>
  <c r="K96" i="1" s="1"/>
  <c r="P94" i="17"/>
  <c r="K95" i="1" s="1"/>
  <c r="P93" i="17"/>
  <c r="K94" i="1" s="1"/>
  <c r="P92" i="17"/>
  <c r="K93" i="1" s="1"/>
  <c r="P91" i="17"/>
  <c r="K92" i="1" s="1"/>
  <c r="P90" i="17"/>
  <c r="K91" i="1" s="1"/>
  <c r="P89" i="17"/>
  <c r="K90" i="1" s="1"/>
  <c r="P88" i="17"/>
  <c r="K89" i="1" s="1"/>
  <c r="P87" i="17"/>
  <c r="K88" i="1" s="1"/>
  <c r="P86" i="17"/>
  <c r="K87" i="1" s="1"/>
  <c r="O84" i="17"/>
  <c r="N84" i="17"/>
  <c r="M84" i="17"/>
  <c r="L84" i="17"/>
  <c r="K84" i="17"/>
  <c r="J84" i="17"/>
  <c r="P83" i="17"/>
  <c r="K84" i="1" s="1"/>
  <c r="K83" i="1"/>
  <c r="K82" i="1"/>
  <c r="K80" i="1"/>
  <c r="K79" i="1"/>
  <c r="K75" i="1"/>
  <c r="K71" i="1"/>
  <c r="K70" i="1"/>
  <c r="K63" i="1"/>
  <c r="K62" i="1"/>
  <c r="K61" i="1"/>
  <c r="K60" i="1"/>
  <c r="K59" i="1"/>
  <c r="K57" i="1"/>
  <c r="K56" i="1"/>
  <c r="O53" i="17"/>
  <c r="N53" i="17"/>
  <c r="M53" i="17"/>
  <c r="L53" i="17"/>
  <c r="K53" i="17"/>
  <c r="J53" i="17"/>
  <c r="P52" i="17"/>
  <c r="K53" i="1" s="1"/>
  <c r="P51" i="17"/>
  <c r="K51" i="1" s="1"/>
  <c r="P49" i="17"/>
  <c r="K49" i="1" s="1"/>
  <c r="P48" i="17"/>
  <c r="K48" i="1" s="1"/>
  <c r="P47" i="17"/>
  <c r="K47" i="1" s="1"/>
  <c r="P46" i="17"/>
  <c r="P45" i="17"/>
  <c r="K45" i="1" s="1"/>
  <c r="P42" i="17"/>
  <c r="K42" i="1" s="1"/>
  <c r="P38" i="17"/>
  <c r="K38" i="1" s="1"/>
  <c r="P31" i="17"/>
  <c r="K31" i="1" s="1"/>
  <c r="P30" i="17"/>
  <c r="K30" i="1" s="1"/>
  <c r="P29" i="17"/>
  <c r="K29" i="1" s="1"/>
  <c r="P28" i="17"/>
  <c r="K28" i="1" s="1"/>
  <c r="O26" i="17"/>
  <c r="N26" i="17"/>
  <c r="M26" i="17"/>
  <c r="L26" i="17"/>
  <c r="K26" i="17"/>
  <c r="J26" i="17"/>
  <c r="I26" i="17"/>
  <c r="H26" i="17"/>
  <c r="G26" i="17"/>
  <c r="F26" i="17"/>
  <c r="E26" i="17"/>
  <c r="D26" i="17"/>
  <c r="P25" i="17"/>
  <c r="K25" i="1" s="1"/>
  <c r="P24" i="17"/>
  <c r="K24" i="1" s="1"/>
  <c r="P23" i="17"/>
  <c r="K23" i="1" s="1"/>
  <c r="P22" i="17"/>
  <c r="K22" i="1" s="1"/>
  <c r="P21" i="17"/>
  <c r="P20" i="17"/>
  <c r="K20" i="1" s="1"/>
  <c r="O18" i="17"/>
  <c r="N18" i="17"/>
  <c r="M18" i="17"/>
  <c r="L18" i="17"/>
  <c r="K18" i="17"/>
  <c r="J18" i="17"/>
  <c r="I18" i="17"/>
  <c r="H18" i="17"/>
  <c r="G18" i="17"/>
  <c r="F18" i="17"/>
  <c r="E18" i="17"/>
  <c r="D18" i="17"/>
  <c r="P17" i="17"/>
  <c r="K17" i="1" s="1"/>
  <c r="P16" i="17"/>
  <c r="K16" i="1" s="1"/>
  <c r="P15" i="17"/>
  <c r="K15" i="1" s="1"/>
  <c r="P14" i="17"/>
  <c r="K14" i="1" s="1"/>
  <c r="O12" i="17"/>
  <c r="N12" i="17"/>
  <c r="M12" i="17"/>
  <c r="L12" i="17"/>
  <c r="K12" i="17"/>
  <c r="J12" i="17"/>
  <c r="I12" i="17"/>
  <c r="H12" i="17"/>
  <c r="G12" i="17"/>
  <c r="F12" i="17"/>
  <c r="E12" i="17"/>
  <c r="D12" i="17"/>
  <c r="P11" i="17"/>
  <c r="K11" i="1" s="1"/>
  <c r="K9" i="1"/>
  <c r="P7" i="17"/>
  <c r="K7" i="1" s="1"/>
  <c r="P6" i="17"/>
  <c r="K6" i="1" s="1"/>
  <c r="O105" i="18"/>
  <c r="N105" i="18"/>
  <c r="M105" i="18"/>
  <c r="L105" i="18"/>
  <c r="K105" i="18"/>
  <c r="J105" i="18"/>
  <c r="I105" i="18"/>
  <c r="H105" i="18"/>
  <c r="G105" i="18"/>
  <c r="F105" i="18"/>
  <c r="E105" i="18"/>
  <c r="D105" i="18"/>
  <c r="P104" i="18"/>
  <c r="P103" i="18"/>
  <c r="P102" i="18"/>
  <c r="P101" i="18"/>
  <c r="P100" i="18"/>
  <c r="P99" i="18"/>
  <c r="P98" i="18"/>
  <c r="P97" i="18"/>
  <c r="P96" i="18"/>
  <c r="P95" i="18"/>
  <c r="P94" i="18"/>
  <c r="P93" i="18"/>
  <c r="P92" i="18"/>
  <c r="P91" i="18"/>
  <c r="P90" i="18"/>
  <c r="P89" i="18"/>
  <c r="P88" i="18"/>
  <c r="P87" i="18"/>
  <c r="P86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P83" i="18"/>
  <c r="P82" i="18"/>
  <c r="P81" i="18"/>
  <c r="P80" i="18"/>
  <c r="P79" i="18"/>
  <c r="P78" i="18"/>
  <c r="P77" i="18"/>
  <c r="P76" i="18"/>
  <c r="P75" i="18"/>
  <c r="P74" i="18"/>
  <c r="P73" i="18"/>
  <c r="P72" i="18"/>
  <c r="P71" i="18"/>
  <c r="P70" i="18"/>
  <c r="P69" i="18"/>
  <c r="P68" i="18"/>
  <c r="P67" i="18"/>
  <c r="P66" i="18"/>
  <c r="P65" i="18"/>
  <c r="P64" i="18"/>
  <c r="P63" i="18"/>
  <c r="P62" i="18"/>
  <c r="P61" i="18"/>
  <c r="P60" i="18"/>
  <c r="P59" i="18"/>
  <c r="P58" i="18"/>
  <c r="P57" i="18"/>
  <c r="P56" i="18"/>
  <c r="P55" i="18"/>
  <c r="O53" i="18"/>
  <c r="N53" i="18"/>
  <c r="M53" i="18"/>
  <c r="L53" i="18"/>
  <c r="K53" i="18"/>
  <c r="J53" i="18"/>
  <c r="I53" i="18"/>
  <c r="H53" i="18"/>
  <c r="G53" i="18"/>
  <c r="F53" i="18"/>
  <c r="E53" i="18"/>
  <c r="E54" i="11" s="1"/>
  <c r="D53" i="18"/>
  <c r="P52" i="18"/>
  <c r="P51" i="18"/>
  <c r="P48" i="18"/>
  <c r="P47" i="18"/>
  <c r="P46" i="18"/>
  <c r="P45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P42" i="18"/>
  <c r="P41" i="18"/>
  <c r="P40" i="18"/>
  <c r="P39" i="18"/>
  <c r="P38" i="18"/>
  <c r="P37" i="18"/>
  <c r="P36" i="18"/>
  <c r="P35" i="18"/>
  <c r="P31" i="18"/>
  <c r="P30" i="18"/>
  <c r="P29" i="18"/>
  <c r="P28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P25" i="18"/>
  <c r="P24" i="18"/>
  <c r="P23" i="18"/>
  <c r="P22" i="18"/>
  <c r="P21" i="18"/>
  <c r="P20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P17" i="18"/>
  <c r="P16" i="18"/>
  <c r="P15" i="18"/>
  <c r="P14" i="18"/>
  <c r="O12" i="18"/>
  <c r="N12" i="18"/>
  <c r="M12" i="18"/>
  <c r="M32" i="18" s="1"/>
  <c r="L12" i="18"/>
  <c r="L32" i="18" s="1"/>
  <c r="K12" i="18"/>
  <c r="J12" i="18"/>
  <c r="I12" i="18"/>
  <c r="I32" i="18" s="1"/>
  <c r="H12" i="18"/>
  <c r="H32" i="18" s="1"/>
  <c r="G12" i="18"/>
  <c r="F12" i="18"/>
  <c r="E12" i="18"/>
  <c r="E32" i="18" s="1"/>
  <c r="D12" i="18"/>
  <c r="P11" i="18"/>
  <c r="P6" i="18"/>
  <c r="O105" i="5"/>
  <c r="N105" i="5"/>
  <c r="M105" i="5"/>
  <c r="L105" i="5"/>
  <c r="K105" i="5"/>
  <c r="J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O84" i="5"/>
  <c r="N84" i="5"/>
  <c r="M84" i="5"/>
  <c r="L84" i="5"/>
  <c r="K84" i="5"/>
  <c r="J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O53" i="5"/>
  <c r="P52" i="5"/>
  <c r="P51" i="5"/>
  <c r="P49" i="5"/>
  <c r="P48" i="5"/>
  <c r="P47" i="5"/>
  <c r="P46" i="5"/>
  <c r="P45" i="5"/>
  <c r="P42" i="5"/>
  <c r="P38" i="5"/>
  <c r="P35" i="5"/>
  <c r="P31" i="5"/>
  <c r="P30" i="5"/>
  <c r="P29" i="5"/>
  <c r="P28" i="5"/>
  <c r="O26" i="5"/>
  <c r="N26" i="5"/>
  <c r="M26" i="5"/>
  <c r="L26" i="5"/>
  <c r="K26" i="5"/>
  <c r="J26" i="5"/>
  <c r="P25" i="5"/>
  <c r="P24" i="5"/>
  <c r="P23" i="5"/>
  <c r="P22" i="5"/>
  <c r="P21" i="5"/>
  <c r="P20" i="5"/>
  <c r="O18" i="5"/>
  <c r="N18" i="5"/>
  <c r="M18" i="5"/>
  <c r="L18" i="5"/>
  <c r="K18" i="5"/>
  <c r="J18" i="5"/>
  <c r="P17" i="5"/>
  <c r="P16" i="5"/>
  <c r="P15" i="5"/>
  <c r="P14" i="5"/>
  <c r="O12" i="5"/>
  <c r="N12" i="5"/>
  <c r="M12" i="5"/>
  <c r="L12" i="5"/>
  <c r="K12" i="5"/>
  <c r="J12" i="5"/>
  <c r="P11" i="5"/>
  <c r="P6" i="5"/>
  <c r="O106" i="10"/>
  <c r="O106" i="11" s="1"/>
  <c r="N106" i="10"/>
  <c r="N106" i="11" s="1"/>
  <c r="M106" i="10"/>
  <c r="M106" i="11" s="1"/>
  <c r="L106" i="10"/>
  <c r="L106" i="11" s="1"/>
  <c r="K106" i="10"/>
  <c r="K106" i="11" s="1"/>
  <c r="J106" i="10"/>
  <c r="J106" i="11" s="1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O85" i="10"/>
  <c r="N85" i="10"/>
  <c r="M85" i="10"/>
  <c r="L85" i="10"/>
  <c r="K85" i="10"/>
  <c r="J85" i="10"/>
  <c r="P84" i="10"/>
  <c r="P83" i="10"/>
  <c r="P82" i="10"/>
  <c r="P81" i="10"/>
  <c r="P80" i="10"/>
  <c r="P79" i="10"/>
  <c r="P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O54" i="10"/>
  <c r="N54" i="10"/>
  <c r="M54" i="10"/>
  <c r="L54" i="10"/>
  <c r="K54" i="10"/>
  <c r="J54" i="10"/>
  <c r="P53" i="10"/>
  <c r="P50" i="10"/>
  <c r="P49" i="10"/>
  <c r="P48" i="10"/>
  <c r="P47" i="10"/>
  <c r="O44" i="10"/>
  <c r="N44" i="10"/>
  <c r="M44" i="10"/>
  <c r="L44" i="10"/>
  <c r="K44" i="10"/>
  <c r="J44" i="10"/>
  <c r="P43" i="10"/>
  <c r="P42" i="10"/>
  <c r="P41" i="10"/>
  <c r="P40" i="10"/>
  <c r="P39" i="10"/>
  <c r="P38" i="10"/>
  <c r="P37" i="10"/>
  <c r="P36" i="10"/>
  <c r="P32" i="10"/>
  <c r="P31" i="10"/>
  <c r="P30" i="10"/>
  <c r="P29" i="10"/>
  <c r="O27" i="10"/>
  <c r="N27" i="10"/>
  <c r="M27" i="10"/>
  <c r="L27" i="10"/>
  <c r="K27" i="10"/>
  <c r="J27" i="10"/>
  <c r="P26" i="10"/>
  <c r="P25" i="10"/>
  <c r="P24" i="10"/>
  <c r="P23" i="10"/>
  <c r="P22" i="10"/>
  <c r="P21" i="10"/>
  <c r="O19" i="10"/>
  <c r="N19" i="10"/>
  <c r="M19" i="10"/>
  <c r="L19" i="10"/>
  <c r="K19" i="10"/>
  <c r="J19" i="10"/>
  <c r="J18" i="11" s="1"/>
  <c r="P18" i="10"/>
  <c r="P17" i="10"/>
  <c r="P16" i="10"/>
  <c r="P15" i="10"/>
  <c r="O13" i="10"/>
  <c r="N13" i="10"/>
  <c r="M13" i="10"/>
  <c r="L13" i="10"/>
  <c r="K13" i="10"/>
  <c r="J13" i="10"/>
  <c r="P12" i="10"/>
  <c r="P7" i="10"/>
  <c r="P6" i="11" s="1"/>
  <c r="M85" i="11"/>
  <c r="L85" i="11"/>
  <c r="O26" i="11"/>
  <c r="K26" i="11"/>
  <c r="J26" i="11"/>
  <c r="P25" i="11"/>
  <c r="H25" i="1" s="1"/>
  <c r="O105" i="12"/>
  <c r="N105" i="12"/>
  <c r="M105" i="12"/>
  <c r="L105" i="12"/>
  <c r="K105" i="12"/>
  <c r="J105" i="12"/>
  <c r="P104" i="12"/>
  <c r="P103" i="12"/>
  <c r="P102" i="12"/>
  <c r="P101" i="12"/>
  <c r="P100" i="12"/>
  <c r="P99" i="12"/>
  <c r="P98" i="12"/>
  <c r="P97" i="12"/>
  <c r="P96" i="12"/>
  <c r="P95" i="12"/>
  <c r="P94" i="12"/>
  <c r="P93" i="12"/>
  <c r="P92" i="12"/>
  <c r="P91" i="12"/>
  <c r="P90" i="12"/>
  <c r="P89" i="12"/>
  <c r="P88" i="12"/>
  <c r="P87" i="12"/>
  <c r="P86" i="12"/>
  <c r="O84" i="12"/>
  <c r="N84" i="12"/>
  <c r="M84" i="12"/>
  <c r="L84" i="12"/>
  <c r="K84" i="12"/>
  <c r="J84" i="12"/>
  <c r="P83" i="12"/>
  <c r="P82" i="12"/>
  <c r="P81" i="12"/>
  <c r="P80" i="12"/>
  <c r="P79" i="12"/>
  <c r="P78" i="12"/>
  <c r="P77" i="12"/>
  <c r="P76" i="12"/>
  <c r="P74" i="12"/>
  <c r="P73" i="12"/>
  <c r="P72" i="12"/>
  <c r="P71" i="12"/>
  <c r="P70" i="12"/>
  <c r="P69" i="12"/>
  <c r="P68" i="12"/>
  <c r="P67" i="12"/>
  <c r="P66" i="12"/>
  <c r="P65" i="12"/>
  <c r="P64" i="12"/>
  <c r="P63" i="12"/>
  <c r="P62" i="12"/>
  <c r="P61" i="12"/>
  <c r="P60" i="12"/>
  <c r="P59" i="12"/>
  <c r="P58" i="12"/>
  <c r="P57" i="12"/>
  <c r="P56" i="12"/>
  <c r="P55" i="12"/>
  <c r="O53" i="12"/>
  <c r="N53" i="12"/>
  <c r="M53" i="12"/>
  <c r="L53" i="12"/>
  <c r="K53" i="12"/>
  <c r="J53" i="12"/>
  <c r="O43" i="12"/>
  <c r="N43" i="12"/>
  <c r="M43" i="12"/>
  <c r="L43" i="12"/>
  <c r="K43" i="12"/>
  <c r="J43" i="12"/>
  <c r="P42" i="12"/>
  <c r="P41" i="12"/>
  <c r="P40" i="12"/>
  <c r="P39" i="12"/>
  <c r="P38" i="12"/>
  <c r="P37" i="12"/>
  <c r="P36" i="12"/>
  <c r="P35" i="12"/>
  <c r="P31" i="12"/>
  <c r="P30" i="12"/>
  <c r="P29" i="12"/>
  <c r="P28" i="12"/>
  <c r="O26" i="12"/>
  <c r="N26" i="12"/>
  <c r="M26" i="12"/>
  <c r="L26" i="12"/>
  <c r="K26" i="12"/>
  <c r="J26" i="12"/>
  <c r="P25" i="12"/>
  <c r="P24" i="12"/>
  <c r="P23" i="12"/>
  <c r="P22" i="12"/>
  <c r="P21" i="12"/>
  <c r="P20" i="12"/>
  <c r="O18" i="12"/>
  <c r="N18" i="12"/>
  <c r="M18" i="12"/>
  <c r="L18" i="12"/>
  <c r="K18" i="12"/>
  <c r="J18" i="12"/>
  <c r="P17" i="12"/>
  <c r="P16" i="12"/>
  <c r="P15" i="12"/>
  <c r="P14" i="12"/>
  <c r="P11" i="12"/>
  <c r="O105" i="13"/>
  <c r="N105" i="13"/>
  <c r="M105" i="13"/>
  <c r="L105" i="13"/>
  <c r="K105" i="13"/>
  <c r="J105" i="13"/>
  <c r="P104" i="13"/>
  <c r="P103" i="13"/>
  <c r="P102" i="13"/>
  <c r="P101" i="13"/>
  <c r="P100" i="13"/>
  <c r="P99" i="13"/>
  <c r="P98" i="13"/>
  <c r="P97" i="13"/>
  <c r="P96" i="13"/>
  <c r="P95" i="13"/>
  <c r="P94" i="13"/>
  <c r="P93" i="13"/>
  <c r="P92" i="13"/>
  <c r="P91" i="13"/>
  <c r="P90" i="13"/>
  <c r="P89" i="13"/>
  <c r="P88" i="13"/>
  <c r="P87" i="13"/>
  <c r="P86" i="13"/>
  <c r="O84" i="13"/>
  <c r="N84" i="13"/>
  <c r="M84" i="13"/>
  <c r="L84" i="13"/>
  <c r="K84" i="13"/>
  <c r="J84" i="13"/>
  <c r="P83" i="13"/>
  <c r="P82" i="13"/>
  <c r="P81" i="13"/>
  <c r="P80" i="13"/>
  <c r="P79" i="13"/>
  <c r="P78" i="13"/>
  <c r="P77" i="13"/>
  <c r="P76" i="13"/>
  <c r="P74" i="13"/>
  <c r="P73" i="13"/>
  <c r="P72" i="13"/>
  <c r="P71" i="13"/>
  <c r="P70" i="13"/>
  <c r="P69" i="13"/>
  <c r="P68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O53" i="13"/>
  <c r="N53" i="13"/>
  <c r="M53" i="13"/>
  <c r="L53" i="13"/>
  <c r="K53" i="13"/>
  <c r="J53" i="13"/>
  <c r="P53" i="13"/>
  <c r="O43" i="13"/>
  <c r="N43" i="13"/>
  <c r="M43" i="13"/>
  <c r="L43" i="13"/>
  <c r="K43" i="13"/>
  <c r="J43" i="13"/>
  <c r="P42" i="13"/>
  <c r="P41" i="13"/>
  <c r="P40" i="13"/>
  <c r="P39" i="13"/>
  <c r="P38" i="13"/>
  <c r="P37" i="13"/>
  <c r="P36" i="13"/>
  <c r="P35" i="13"/>
  <c r="P31" i="13"/>
  <c r="P30" i="13"/>
  <c r="P29" i="13"/>
  <c r="P28" i="13"/>
  <c r="O26" i="13"/>
  <c r="N26" i="13"/>
  <c r="M26" i="13"/>
  <c r="L26" i="13"/>
  <c r="K26" i="13"/>
  <c r="J26" i="13"/>
  <c r="P25" i="13"/>
  <c r="P24" i="13"/>
  <c r="P23" i="13"/>
  <c r="P22" i="13"/>
  <c r="P21" i="13"/>
  <c r="P20" i="13"/>
  <c r="O18" i="13"/>
  <c r="N18" i="13"/>
  <c r="M18" i="13"/>
  <c r="L18" i="13"/>
  <c r="K18" i="13"/>
  <c r="J18" i="13"/>
  <c r="P17" i="13"/>
  <c r="P16" i="13"/>
  <c r="P15" i="13"/>
  <c r="P14" i="13"/>
  <c r="P11" i="13"/>
  <c r="P7" i="13"/>
  <c r="O105" i="14"/>
  <c r="N105" i="14"/>
  <c r="M105" i="14"/>
  <c r="L105" i="14"/>
  <c r="K105" i="14"/>
  <c r="J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O84" i="14"/>
  <c r="N84" i="14"/>
  <c r="M84" i="14"/>
  <c r="L84" i="14"/>
  <c r="K84" i="14"/>
  <c r="J84" i="14"/>
  <c r="P83" i="14"/>
  <c r="P82" i="14"/>
  <c r="P81" i="14"/>
  <c r="P80" i="14"/>
  <c r="P79" i="14"/>
  <c r="P78" i="14"/>
  <c r="P77" i="14"/>
  <c r="P76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O53" i="14"/>
  <c r="N53" i="14"/>
  <c r="M53" i="14"/>
  <c r="L53" i="14"/>
  <c r="K53" i="14"/>
  <c r="J53" i="14"/>
  <c r="P53" i="14"/>
  <c r="Q53" i="14" s="1"/>
  <c r="O43" i="14"/>
  <c r="N43" i="14"/>
  <c r="M43" i="14"/>
  <c r="L43" i="14"/>
  <c r="K43" i="14"/>
  <c r="J43" i="14"/>
  <c r="P42" i="14"/>
  <c r="P41" i="14"/>
  <c r="P40" i="14"/>
  <c r="P38" i="14"/>
  <c r="P37" i="14"/>
  <c r="P36" i="14"/>
  <c r="P35" i="14"/>
  <c r="Q39" i="14" s="1"/>
  <c r="P31" i="14"/>
  <c r="P30" i="14"/>
  <c r="P29" i="14"/>
  <c r="P28" i="14"/>
  <c r="O26" i="14"/>
  <c r="N26" i="14"/>
  <c r="M26" i="14"/>
  <c r="L26" i="14"/>
  <c r="K26" i="14"/>
  <c r="J26" i="14"/>
  <c r="P25" i="14"/>
  <c r="P24" i="14"/>
  <c r="P23" i="14"/>
  <c r="P22" i="14"/>
  <c r="P21" i="14"/>
  <c r="P20" i="14"/>
  <c r="O18" i="14"/>
  <c r="N18" i="14"/>
  <c r="M18" i="14"/>
  <c r="L18" i="14"/>
  <c r="K18" i="14"/>
  <c r="J18" i="14"/>
  <c r="P17" i="14"/>
  <c r="P16" i="14"/>
  <c r="P15" i="14"/>
  <c r="P14" i="14"/>
  <c r="O12" i="14"/>
  <c r="N12" i="14"/>
  <c r="M12" i="14"/>
  <c r="M32" i="14" s="1"/>
  <c r="L12" i="14"/>
  <c r="L32" i="14" s="1"/>
  <c r="K12" i="14"/>
  <c r="P11" i="14"/>
  <c r="O105" i="6"/>
  <c r="N105" i="6"/>
  <c r="M105" i="6"/>
  <c r="L105" i="6"/>
  <c r="K105" i="6"/>
  <c r="J105" i="6"/>
  <c r="O84" i="6"/>
  <c r="N84" i="6"/>
  <c r="M84" i="6"/>
  <c r="L84" i="6"/>
  <c r="K84" i="6"/>
  <c r="J84" i="6"/>
  <c r="P83" i="6"/>
  <c r="P55" i="6"/>
  <c r="O53" i="6"/>
  <c r="N53" i="6"/>
  <c r="M53" i="6"/>
  <c r="L53" i="6"/>
  <c r="K53" i="6"/>
  <c r="J53" i="6"/>
  <c r="O43" i="6"/>
  <c r="N43" i="6"/>
  <c r="M43" i="6"/>
  <c r="L43" i="6"/>
  <c r="K43" i="6"/>
  <c r="J43" i="6"/>
  <c r="P42" i="6"/>
  <c r="P41" i="6"/>
  <c r="P40" i="6"/>
  <c r="P39" i="6"/>
  <c r="P38" i="6"/>
  <c r="P37" i="6"/>
  <c r="P36" i="6"/>
  <c r="P35" i="6"/>
  <c r="P31" i="6"/>
  <c r="P30" i="6"/>
  <c r="P29" i="6"/>
  <c r="P28" i="6"/>
  <c r="O26" i="6"/>
  <c r="N26" i="6"/>
  <c r="M26" i="6"/>
  <c r="L26" i="6"/>
  <c r="K26" i="6"/>
  <c r="J26" i="6"/>
  <c r="P25" i="6"/>
  <c r="P24" i="6"/>
  <c r="P23" i="6"/>
  <c r="P22" i="6"/>
  <c r="P21" i="6"/>
  <c r="P20" i="6"/>
  <c r="O18" i="6"/>
  <c r="N18" i="6"/>
  <c r="M18" i="6"/>
  <c r="L18" i="6"/>
  <c r="K18" i="6"/>
  <c r="J18" i="6"/>
  <c r="P17" i="6"/>
  <c r="P16" i="6"/>
  <c r="P15" i="6"/>
  <c r="P14" i="6"/>
  <c r="O12" i="6"/>
  <c r="N12" i="6"/>
  <c r="N32" i="6" s="1"/>
  <c r="M12" i="6"/>
  <c r="M32" i="6" s="1"/>
  <c r="L12" i="6"/>
  <c r="K12" i="6"/>
  <c r="P11" i="6"/>
  <c r="P31" i="7"/>
  <c r="G31" i="1" s="1"/>
  <c r="P30" i="7"/>
  <c r="G30" i="1" s="1"/>
  <c r="P29" i="7"/>
  <c r="G29" i="1" s="1"/>
  <c r="P28" i="7"/>
  <c r="G28" i="1" s="1"/>
  <c r="O105" i="8"/>
  <c r="N105" i="8"/>
  <c r="M105" i="8"/>
  <c r="L105" i="8"/>
  <c r="K105" i="8"/>
  <c r="J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O84" i="8"/>
  <c r="N84" i="8"/>
  <c r="M84" i="8"/>
  <c r="L84" i="8"/>
  <c r="K84" i="8"/>
  <c r="J84" i="8"/>
  <c r="O53" i="8"/>
  <c r="N53" i="8"/>
  <c r="M53" i="8"/>
  <c r="L53" i="8"/>
  <c r="K53" i="8"/>
  <c r="J53" i="8"/>
  <c r="O43" i="8"/>
  <c r="N43" i="8"/>
  <c r="L43" i="8"/>
  <c r="K43" i="8"/>
  <c r="J43" i="8"/>
  <c r="P42" i="8"/>
  <c r="P38" i="8"/>
  <c r="P31" i="8"/>
  <c r="P30" i="8"/>
  <c r="P29" i="8"/>
  <c r="P28" i="8"/>
  <c r="O26" i="8"/>
  <c r="N26" i="8"/>
  <c r="M26" i="8"/>
  <c r="L26" i="8"/>
  <c r="K26" i="8"/>
  <c r="J26" i="8"/>
  <c r="P25" i="8"/>
  <c r="P24" i="8"/>
  <c r="P23" i="8"/>
  <c r="P22" i="8"/>
  <c r="P21" i="8"/>
  <c r="P20" i="8"/>
  <c r="O18" i="8"/>
  <c r="N18" i="8"/>
  <c r="M18" i="8"/>
  <c r="L18" i="8"/>
  <c r="K18" i="8"/>
  <c r="J18" i="8"/>
  <c r="P17" i="8"/>
  <c r="P16" i="8"/>
  <c r="P15" i="8"/>
  <c r="P14" i="8"/>
  <c r="P7" i="8"/>
  <c r="O105" i="9"/>
  <c r="N105" i="9"/>
  <c r="M105" i="9"/>
  <c r="L105" i="9"/>
  <c r="K105" i="9"/>
  <c r="J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O84" i="9"/>
  <c r="N84" i="9"/>
  <c r="M84" i="9"/>
  <c r="L84" i="9"/>
  <c r="K84" i="9"/>
  <c r="J84" i="9"/>
  <c r="P83" i="9"/>
  <c r="P82" i="9"/>
  <c r="O53" i="9"/>
  <c r="N53" i="9"/>
  <c r="M53" i="9"/>
  <c r="L53" i="9"/>
  <c r="K53" i="9"/>
  <c r="J53" i="9"/>
  <c r="P42" i="9"/>
  <c r="P31" i="9"/>
  <c r="P30" i="9"/>
  <c r="P29" i="9"/>
  <c r="P28" i="9"/>
  <c r="O26" i="9"/>
  <c r="N26" i="9"/>
  <c r="M26" i="9"/>
  <c r="L26" i="9"/>
  <c r="K26" i="9"/>
  <c r="J26" i="9"/>
  <c r="P25" i="9"/>
  <c r="P24" i="9"/>
  <c r="P23" i="9"/>
  <c r="P22" i="9"/>
  <c r="P21" i="9"/>
  <c r="P20" i="9"/>
  <c r="O18" i="9"/>
  <c r="N18" i="9"/>
  <c r="M18" i="9"/>
  <c r="L18" i="9"/>
  <c r="K18" i="9"/>
  <c r="J18" i="9"/>
  <c r="P17" i="9"/>
  <c r="P16" i="9"/>
  <c r="P15" i="9"/>
  <c r="P14" i="9"/>
  <c r="P103" i="2"/>
  <c r="F104" i="1" s="1"/>
  <c r="P99" i="2"/>
  <c r="F100" i="1" s="1"/>
  <c r="P95" i="2"/>
  <c r="F96" i="1" s="1"/>
  <c r="P91" i="2"/>
  <c r="F92" i="1" s="1"/>
  <c r="P87" i="2"/>
  <c r="F88" i="1" s="1"/>
  <c r="P79" i="2"/>
  <c r="F80" i="1" s="1"/>
  <c r="P75" i="2"/>
  <c r="F76" i="1" s="1"/>
  <c r="P71" i="2"/>
  <c r="F72" i="1" s="1"/>
  <c r="P59" i="2"/>
  <c r="F60" i="1" s="1"/>
  <c r="P55" i="2"/>
  <c r="F56" i="1" s="1"/>
  <c r="N53" i="2"/>
  <c r="F48" i="1"/>
  <c r="F46" i="1"/>
  <c r="P42" i="2"/>
  <c r="F42" i="1" s="1"/>
  <c r="P29" i="2"/>
  <c r="F29" i="1" s="1"/>
  <c r="N26" i="2"/>
  <c r="J26" i="2"/>
  <c r="F24" i="1"/>
  <c r="F20" i="1"/>
  <c r="P15" i="2"/>
  <c r="F15" i="1" s="1"/>
  <c r="U23" i="21" l="1"/>
  <c r="W23" i="21"/>
  <c r="M23" i="21"/>
  <c r="T23" i="21"/>
  <c r="Q23" i="21"/>
  <c r="V23" i="21"/>
  <c r="M6" i="9" s="1"/>
  <c r="R23" i="21"/>
  <c r="S23" i="21"/>
  <c r="J6" i="9" s="1"/>
  <c r="J6" i="2" s="1"/>
  <c r="N23" i="21"/>
  <c r="X23" i="21"/>
  <c r="O6" i="9" s="1"/>
  <c r="O23" i="21"/>
  <c r="F6" i="9" s="1"/>
  <c r="F6" i="2" s="1"/>
  <c r="P23" i="21"/>
  <c r="F105" i="7"/>
  <c r="H109" i="14"/>
  <c r="P6" i="14"/>
  <c r="P12" i="14" s="1"/>
  <c r="M54" i="11"/>
  <c r="E52" i="4"/>
  <c r="J54" i="11"/>
  <c r="N54" i="11"/>
  <c r="K54" i="11"/>
  <c r="L54" i="11"/>
  <c r="O54" i="11"/>
  <c r="I12" i="12"/>
  <c r="I32" i="12" s="1"/>
  <c r="I109" i="12" s="1"/>
  <c r="H109" i="6"/>
  <c r="I109" i="6"/>
  <c r="P6" i="6"/>
  <c r="P12" i="6" s="1"/>
  <c r="Q12" i="6" s="1"/>
  <c r="K12" i="12"/>
  <c r="K32" i="12" s="1"/>
  <c r="F12" i="12"/>
  <c r="F32" i="12" s="1"/>
  <c r="F109" i="12" s="1"/>
  <c r="F109" i="6"/>
  <c r="E12" i="14"/>
  <c r="E32" i="14" s="1"/>
  <c r="E109" i="14" s="1"/>
  <c r="I109" i="14"/>
  <c r="E109" i="6"/>
  <c r="L12" i="12"/>
  <c r="L32" i="12" s="1"/>
  <c r="G12" i="12"/>
  <c r="G32" i="12" s="1"/>
  <c r="G109" i="12" s="1"/>
  <c r="H12" i="12"/>
  <c r="H32" i="12" s="1"/>
  <c r="H109" i="12" s="1"/>
  <c r="F109" i="14"/>
  <c r="G109" i="6"/>
  <c r="G109" i="14"/>
  <c r="M6" i="7"/>
  <c r="M12" i="7" s="1"/>
  <c r="D32" i="18"/>
  <c r="P36" i="8"/>
  <c r="O6" i="8"/>
  <c r="O12" i="8" s="1"/>
  <c r="O32" i="8" s="1"/>
  <c r="G6" i="8"/>
  <c r="G12" i="8" s="1"/>
  <c r="G32" i="8" s="1"/>
  <c r="G109" i="8" s="1"/>
  <c r="M6" i="8"/>
  <c r="M12" i="8" s="1"/>
  <c r="M32" i="8" s="1"/>
  <c r="L6" i="8"/>
  <c r="L12" i="8" s="1"/>
  <c r="L32" i="8" s="1"/>
  <c r="N6" i="8"/>
  <c r="N12" i="8" s="1"/>
  <c r="N32" i="8" s="1"/>
  <c r="E6" i="8"/>
  <c r="K6" i="8"/>
  <c r="K12" i="8" s="1"/>
  <c r="K32" i="8" s="1"/>
  <c r="I6" i="8"/>
  <c r="I12" i="8" s="1"/>
  <c r="I32" i="8" s="1"/>
  <c r="I109" i="8" s="1"/>
  <c r="H6" i="8"/>
  <c r="H12" i="8" s="1"/>
  <c r="H32" i="8" s="1"/>
  <c r="H109" i="8" s="1"/>
  <c r="L26" i="7"/>
  <c r="O26" i="7"/>
  <c r="M26" i="7"/>
  <c r="P26" i="18"/>
  <c r="Q26" i="18" s="1"/>
  <c r="K14" i="4"/>
  <c r="O18" i="7"/>
  <c r="D12" i="8"/>
  <c r="D32" i="8" s="1"/>
  <c r="D109" i="8" s="1"/>
  <c r="P105" i="18"/>
  <c r="Q105" i="18" s="1"/>
  <c r="Q39" i="12"/>
  <c r="E21" i="4"/>
  <c r="I21" i="4"/>
  <c r="M21" i="4"/>
  <c r="E22" i="4"/>
  <c r="I22" i="4"/>
  <c r="M22" i="4"/>
  <c r="E23" i="4"/>
  <c r="I23" i="4"/>
  <c r="M23" i="4"/>
  <c r="E24" i="4"/>
  <c r="I24" i="4"/>
  <c r="M24" i="4"/>
  <c r="E85" i="11"/>
  <c r="P41" i="16"/>
  <c r="J41" i="1" s="1"/>
  <c r="J43" i="16"/>
  <c r="J106" i="16" s="1"/>
  <c r="J109" i="16" s="1"/>
  <c r="J40" i="1"/>
  <c r="P37" i="16"/>
  <c r="J37" i="1" s="1"/>
  <c r="F43" i="5"/>
  <c r="F106" i="5" s="1"/>
  <c r="F109" i="5" s="1"/>
  <c r="M43" i="5"/>
  <c r="M106" i="5" s="1"/>
  <c r="K43" i="5"/>
  <c r="K106" i="5" s="1"/>
  <c r="I43" i="5"/>
  <c r="I106" i="5" s="1"/>
  <c r="I109" i="5" s="1"/>
  <c r="F43" i="11"/>
  <c r="G43" i="5"/>
  <c r="G106" i="5" s="1"/>
  <c r="G109" i="5" s="1"/>
  <c r="M33" i="10"/>
  <c r="L84" i="7"/>
  <c r="I84" i="7"/>
  <c r="L53" i="7"/>
  <c r="J32" i="13"/>
  <c r="D108" i="15"/>
  <c r="K20" i="4"/>
  <c r="K26" i="4" s="1"/>
  <c r="K26" i="7"/>
  <c r="E91" i="4"/>
  <c r="P91" i="7"/>
  <c r="G92" i="1" s="1"/>
  <c r="P37" i="11"/>
  <c r="H37" i="1" s="1"/>
  <c r="F108" i="15"/>
  <c r="L32" i="13"/>
  <c r="J32" i="14"/>
  <c r="N32" i="14"/>
  <c r="H7" i="1"/>
  <c r="N32" i="18"/>
  <c r="N32" i="3"/>
  <c r="N20" i="4"/>
  <c r="E108" i="15"/>
  <c r="O32" i="13"/>
  <c r="M32" i="13"/>
  <c r="D43" i="5"/>
  <c r="D106" i="5" s="1"/>
  <c r="D109" i="5" s="1"/>
  <c r="H43" i="5"/>
  <c r="H106" i="5" s="1"/>
  <c r="H109" i="5" s="1"/>
  <c r="N32" i="13"/>
  <c r="I108" i="15"/>
  <c r="P26" i="14"/>
  <c r="Q26" i="14" s="1"/>
  <c r="N33" i="10"/>
  <c r="P26" i="5"/>
  <c r="Q26" i="5" s="1"/>
  <c r="O43" i="5"/>
  <c r="O106" i="5" s="1"/>
  <c r="F32" i="18"/>
  <c r="J32" i="18"/>
  <c r="F32" i="17"/>
  <c r="J32" i="17"/>
  <c r="N32" i="17"/>
  <c r="G32" i="15"/>
  <c r="G108" i="15" s="1"/>
  <c r="K32" i="15"/>
  <c r="O32" i="15"/>
  <c r="J32" i="3"/>
  <c r="O43" i="9"/>
  <c r="O106" i="9" s="1"/>
  <c r="L32" i="6"/>
  <c r="K32" i="14"/>
  <c r="O32" i="14"/>
  <c r="G32" i="18"/>
  <c r="K32" i="18"/>
  <c r="O32" i="18"/>
  <c r="P12" i="15"/>
  <c r="Q12" i="15" s="1"/>
  <c r="H32" i="15"/>
  <c r="L32" i="15"/>
  <c r="K32" i="3"/>
  <c r="O32" i="3"/>
  <c r="J20" i="4"/>
  <c r="J21" i="4"/>
  <c r="N21" i="4"/>
  <c r="N22" i="4"/>
  <c r="J23" i="4"/>
  <c r="N23" i="4"/>
  <c r="J24" i="4"/>
  <c r="G84" i="7"/>
  <c r="H108" i="15"/>
  <c r="K32" i="13"/>
  <c r="J32" i="6"/>
  <c r="N43" i="5"/>
  <c r="N106" i="5" s="1"/>
  <c r="E43" i="5"/>
  <c r="E106" i="5" s="1"/>
  <c r="E109" i="5" s="1"/>
  <c r="D43" i="11"/>
  <c r="J43" i="5"/>
  <c r="J106" i="5" s="1"/>
  <c r="F53" i="7"/>
  <c r="F45" i="4"/>
  <c r="G53" i="7"/>
  <c r="G45" i="4"/>
  <c r="M20" i="4"/>
  <c r="H53" i="7"/>
  <c r="H45" i="4"/>
  <c r="E53" i="7"/>
  <c r="E45" i="4"/>
  <c r="D7" i="4"/>
  <c r="D45" i="4"/>
  <c r="L20" i="4"/>
  <c r="L26" i="4" s="1"/>
  <c r="J43" i="9"/>
  <c r="J106" i="9" s="1"/>
  <c r="K43" i="9"/>
  <c r="K106" i="9" s="1"/>
  <c r="M53" i="7"/>
  <c r="D53" i="7"/>
  <c r="K53" i="7"/>
  <c r="N53" i="7"/>
  <c r="J53" i="7"/>
  <c r="O53" i="7"/>
  <c r="M51" i="4"/>
  <c r="I53" i="7"/>
  <c r="J18" i="1"/>
  <c r="I12" i="1"/>
  <c r="I18" i="1"/>
  <c r="F43" i="9"/>
  <c r="F106" i="9" s="1"/>
  <c r="K43" i="2"/>
  <c r="H43" i="9"/>
  <c r="H106" i="9" s="1"/>
  <c r="D43" i="9"/>
  <c r="D106" i="9" s="1"/>
  <c r="P40" i="9"/>
  <c r="E43" i="9"/>
  <c r="E106" i="9" s="1"/>
  <c r="L43" i="9"/>
  <c r="L106" i="9" s="1"/>
  <c r="N43" i="9"/>
  <c r="N106" i="9" s="1"/>
  <c r="M43" i="9"/>
  <c r="M106" i="9" s="1"/>
  <c r="M41" i="4"/>
  <c r="M40" i="4"/>
  <c r="G43" i="2"/>
  <c r="G106" i="2" s="1"/>
  <c r="P41" i="9"/>
  <c r="I43" i="9"/>
  <c r="I106" i="9" s="1"/>
  <c r="G43" i="9"/>
  <c r="G106" i="9" s="1"/>
  <c r="E43" i="2"/>
  <c r="E106" i="2" s="1"/>
  <c r="D43" i="16"/>
  <c r="D106" i="16" s="1"/>
  <c r="I43" i="2"/>
  <c r="I106" i="2" s="1"/>
  <c r="P36" i="5"/>
  <c r="L39" i="4"/>
  <c r="L37" i="4"/>
  <c r="N39" i="4"/>
  <c r="N37" i="4"/>
  <c r="O39" i="4"/>
  <c r="O37" i="4"/>
  <c r="K39" i="4"/>
  <c r="K37" i="4"/>
  <c r="E39" i="4"/>
  <c r="P43" i="18"/>
  <c r="P12" i="18"/>
  <c r="Q12" i="18" s="1"/>
  <c r="I83" i="4"/>
  <c r="E83" i="4"/>
  <c r="P84" i="18"/>
  <c r="Q84" i="18" s="1"/>
  <c r="O106" i="18"/>
  <c r="K106" i="18"/>
  <c r="K109" i="18" s="1"/>
  <c r="G106" i="18"/>
  <c r="P53" i="18"/>
  <c r="Q53" i="18" s="1"/>
  <c r="M106" i="18"/>
  <c r="M109" i="18" s="1"/>
  <c r="I106" i="18"/>
  <c r="I109" i="18" s="1"/>
  <c r="E106" i="18"/>
  <c r="E109" i="18" s="1"/>
  <c r="F106" i="18"/>
  <c r="J106" i="18"/>
  <c r="N106" i="18"/>
  <c r="Q43" i="18"/>
  <c r="G43" i="7"/>
  <c r="I43" i="3"/>
  <c r="I106" i="3" s="1"/>
  <c r="I109" i="3" s="1"/>
  <c r="D43" i="7"/>
  <c r="D109" i="6"/>
  <c r="P36" i="16"/>
  <c r="O26" i="4"/>
  <c r="K18" i="1"/>
  <c r="E32" i="17"/>
  <c r="I32" i="17"/>
  <c r="M32" i="17"/>
  <c r="P26" i="17"/>
  <c r="Q26" i="17" s="1"/>
  <c r="P53" i="17"/>
  <c r="Q53" i="17" s="1"/>
  <c r="G32" i="17"/>
  <c r="K32" i="17"/>
  <c r="O32" i="17"/>
  <c r="K21" i="1"/>
  <c r="K26" i="1" s="1"/>
  <c r="P12" i="17"/>
  <c r="D32" i="17"/>
  <c r="H32" i="17"/>
  <c r="L32" i="17"/>
  <c r="Y42" i="21"/>
  <c r="F12" i="8"/>
  <c r="F32" i="8" s="1"/>
  <c r="F109" i="8" s="1"/>
  <c r="K6" i="9"/>
  <c r="N6" i="9"/>
  <c r="N6" i="7"/>
  <c r="N12" i="7" s="1"/>
  <c r="L6" i="9"/>
  <c r="D12" i="12"/>
  <c r="D32" i="12" s="1"/>
  <c r="D109" i="12" s="1"/>
  <c r="D109" i="13"/>
  <c r="D109" i="14"/>
  <c r="H43" i="7"/>
  <c r="E43" i="7"/>
  <c r="F43" i="7"/>
  <c r="I35" i="4"/>
  <c r="H43" i="3"/>
  <c r="H106" i="3" s="1"/>
  <c r="H109" i="3" s="1"/>
  <c r="D43" i="3"/>
  <c r="D106" i="3" s="1"/>
  <c r="D109" i="3" s="1"/>
  <c r="E43" i="25"/>
  <c r="E106" i="25" s="1"/>
  <c r="E109" i="25" s="1"/>
  <c r="G43" i="25"/>
  <c r="G106" i="25" s="1"/>
  <c r="G109" i="25" s="1"/>
  <c r="P40" i="5"/>
  <c r="P35" i="3"/>
  <c r="L35" i="1" s="1"/>
  <c r="E43" i="3"/>
  <c r="E106" i="3" s="1"/>
  <c r="E109" i="3" s="1"/>
  <c r="G43" i="3"/>
  <c r="G106" i="3" s="1"/>
  <c r="G109" i="3" s="1"/>
  <c r="P39" i="8"/>
  <c r="Q39" i="8" s="1"/>
  <c r="M39" i="4"/>
  <c r="F43" i="25"/>
  <c r="F106" i="25" s="1"/>
  <c r="F109" i="25" s="1"/>
  <c r="P37" i="5"/>
  <c r="D43" i="25"/>
  <c r="D106" i="25" s="1"/>
  <c r="D109" i="25" s="1"/>
  <c r="F43" i="3"/>
  <c r="F106" i="3" s="1"/>
  <c r="F109" i="3" s="1"/>
  <c r="I43" i="25"/>
  <c r="I106" i="25" s="1"/>
  <c r="I109" i="25" s="1"/>
  <c r="H43" i="25"/>
  <c r="H106" i="25" s="1"/>
  <c r="H109" i="25" s="1"/>
  <c r="M37" i="4"/>
  <c r="E6" i="7"/>
  <c r="E12" i="7" s="1"/>
  <c r="O6" i="7"/>
  <c r="O12" i="7" s="1"/>
  <c r="O32" i="7" s="1"/>
  <c r="I26" i="1"/>
  <c r="J12" i="1"/>
  <c r="I6" i="7"/>
  <c r="I12" i="7" s="1"/>
  <c r="P6" i="13"/>
  <c r="P12" i="13" s="1"/>
  <c r="G109" i="13"/>
  <c r="D43" i="17"/>
  <c r="F43" i="17"/>
  <c r="F106" i="17" s="1"/>
  <c r="F109" i="17" s="1"/>
  <c r="I43" i="17"/>
  <c r="I106" i="17" s="1"/>
  <c r="I109" i="17" s="1"/>
  <c r="H43" i="2"/>
  <c r="H106" i="2" s="1"/>
  <c r="P39" i="5"/>
  <c r="N43" i="11"/>
  <c r="L43" i="5"/>
  <c r="L42" i="4" s="1"/>
  <c r="F43" i="2"/>
  <c r="F106" i="2" s="1"/>
  <c r="H43" i="17"/>
  <c r="H106" i="17" s="1"/>
  <c r="N41" i="4"/>
  <c r="N40" i="4"/>
  <c r="O41" i="4"/>
  <c r="O40" i="4"/>
  <c r="D43" i="2"/>
  <c r="D106" i="2" s="1"/>
  <c r="P41" i="5"/>
  <c r="K41" i="4"/>
  <c r="I37" i="4"/>
  <c r="I41" i="4"/>
  <c r="L41" i="4"/>
  <c r="L40" i="4"/>
  <c r="E40" i="4"/>
  <c r="E36" i="4"/>
  <c r="E41" i="4"/>
  <c r="G43" i="17"/>
  <c r="G106" i="17" s="1"/>
  <c r="H40" i="4"/>
  <c r="I36" i="4"/>
  <c r="E38" i="4"/>
  <c r="I38" i="4"/>
  <c r="I40" i="4"/>
  <c r="L26" i="1"/>
  <c r="L18" i="1"/>
  <c r="P53" i="3"/>
  <c r="Q53" i="3" s="1"/>
  <c r="P52" i="15"/>
  <c r="Q52" i="15" s="1"/>
  <c r="P104" i="15"/>
  <c r="Q104" i="15" s="1"/>
  <c r="J54" i="1"/>
  <c r="K46" i="1"/>
  <c r="K54" i="1" s="1"/>
  <c r="E28" i="4"/>
  <c r="P28" i="4" s="1"/>
  <c r="P28" i="11"/>
  <c r="H28" i="1" s="1"/>
  <c r="F14" i="4"/>
  <c r="F47" i="4"/>
  <c r="P105" i="5"/>
  <c r="Q105" i="5" s="1"/>
  <c r="F49" i="4"/>
  <c r="F61" i="4"/>
  <c r="F63" i="4"/>
  <c r="F67" i="4"/>
  <c r="F71" i="4"/>
  <c r="F77" i="4"/>
  <c r="G14" i="4"/>
  <c r="G36" i="4"/>
  <c r="G38" i="4"/>
  <c r="G47" i="4"/>
  <c r="G49" i="4"/>
  <c r="G57" i="4"/>
  <c r="G59" i="4"/>
  <c r="G61" i="4"/>
  <c r="G63" i="4"/>
  <c r="G65" i="4"/>
  <c r="G67" i="4"/>
  <c r="G69" i="4"/>
  <c r="G71" i="4"/>
  <c r="G73" i="4"/>
  <c r="G75" i="4"/>
  <c r="G77" i="4"/>
  <c r="G79" i="4"/>
  <c r="G81" i="4"/>
  <c r="G83" i="4"/>
  <c r="G88" i="4"/>
  <c r="G90" i="4"/>
  <c r="G92" i="4"/>
  <c r="G96" i="4"/>
  <c r="G98" i="4"/>
  <c r="G100" i="4"/>
  <c r="G102" i="4"/>
  <c r="G104" i="4"/>
  <c r="H12" i="11"/>
  <c r="D18" i="11"/>
  <c r="G18" i="11"/>
  <c r="P24" i="11"/>
  <c r="H24" i="1" s="1"/>
  <c r="P38" i="11"/>
  <c r="H38" i="1" s="1"/>
  <c r="P39" i="11"/>
  <c r="H39" i="1" s="1"/>
  <c r="F54" i="11"/>
  <c r="P47" i="11"/>
  <c r="H47" i="1" s="1"/>
  <c r="P48" i="11"/>
  <c r="H48" i="1" s="1"/>
  <c r="P49" i="11"/>
  <c r="H49" i="1" s="1"/>
  <c r="P56" i="11"/>
  <c r="H56" i="1" s="1"/>
  <c r="F85" i="11"/>
  <c r="P58" i="11"/>
  <c r="H58" i="1" s="1"/>
  <c r="H85" i="11"/>
  <c r="P59" i="11"/>
  <c r="H59" i="1" s="1"/>
  <c r="P60" i="11"/>
  <c r="H60" i="1" s="1"/>
  <c r="P61" i="11"/>
  <c r="H61" i="1" s="1"/>
  <c r="P62" i="11"/>
  <c r="H62" i="1" s="1"/>
  <c r="P63" i="11"/>
  <c r="H63" i="1" s="1"/>
  <c r="P64" i="11"/>
  <c r="H64" i="1" s="1"/>
  <c r="P65" i="11"/>
  <c r="H65" i="1" s="1"/>
  <c r="P67" i="11"/>
  <c r="H67" i="1" s="1"/>
  <c r="P68" i="11"/>
  <c r="H68" i="1" s="1"/>
  <c r="P69" i="11"/>
  <c r="P71" i="11"/>
  <c r="P72" i="11"/>
  <c r="H72" i="1" s="1"/>
  <c r="P75" i="11"/>
  <c r="H75" i="1" s="1"/>
  <c r="P76" i="11"/>
  <c r="P77" i="11"/>
  <c r="H77" i="1" s="1"/>
  <c r="P79" i="11"/>
  <c r="H79" i="1" s="1"/>
  <c r="P80" i="11"/>
  <c r="H80" i="1" s="1"/>
  <c r="P81" i="11"/>
  <c r="H81" i="1" s="1"/>
  <c r="P83" i="11"/>
  <c r="H83" i="1" s="1"/>
  <c r="P84" i="11"/>
  <c r="H84" i="1" s="1"/>
  <c r="P87" i="11"/>
  <c r="H87" i="1" s="1"/>
  <c r="P91" i="11"/>
  <c r="H91" i="1" s="1"/>
  <c r="P95" i="11"/>
  <c r="P99" i="11"/>
  <c r="H99" i="1" s="1"/>
  <c r="P103" i="11"/>
  <c r="H103" i="1" s="1"/>
  <c r="F52" i="4"/>
  <c r="F57" i="4"/>
  <c r="F59" i="4"/>
  <c r="F65" i="4"/>
  <c r="F69" i="4"/>
  <c r="F73" i="4"/>
  <c r="F75" i="4"/>
  <c r="F79" i="4"/>
  <c r="F81" i="4"/>
  <c r="F83" i="4"/>
  <c r="P53" i="5"/>
  <c r="Q53" i="5" s="1"/>
  <c r="H15" i="4"/>
  <c r="H21" i="4"/>
  <c r="H22" i="4"/>
  <c r="H23" i="4"/>
  <c r="H24" i="4"/>
  <c r="D37" i="4"/>
  <c r="H37" i="4"/>
  <c r="D39" i="4"/>
  <c r="H39" i="4"/>
  <c r="D41" i="4"/>
  <c r="H41" i="4"/>
  <c r="D46" i="4"/>
  <c r="H46" i="4"/>
  <c r="H48" i="4"/>
  <c r="D51" i="4"/>
  <c r="H51" i="4"/>
  <c r="D58" i="4"/>
  <c r="H58" i="4"/>
  <c r="H60" i="4"/>
  <c r="D62" i="4"/>
  <c r="H62" i="4"/>
  <c r="H64" i="4"/>
  <c r="H66" i="4"/>
  <c r="H68" i="4"/>
  <c r="H70" i="4"/>
  <c r="H72" i="4"/>
  <c r="H74" i="4"/>
  <c r="H76" i="4"/>
  <c r="D78" i="4"/>
  <c r="H78" i="4"/>
  <c r="H80" i="4"/>
  <c r="H82" i="4"/>
  <c r="D86" i="4"/>
  <c r="H86" i="4"/>
  <c r="D88" i="4"/>
  <c r="H88" i="4"/>
  <c r="D90" i="4"/>
  <c r="H90" i="4"/>
  <c r="D92" i="4"/>
  <c r="H92" i="4"/>
  <c r="D96" i="4"/>
  <c r="H96" i="4"/>
  <c r="D98" i="4"/>
  <c r="H98" i="4"/>
  <c r="D100" i="4"/>
  <c r="H100" i="4"/>
  <c r="D102" i="4"/>
  <c r="H102" i="4"/>
  <c r="D104" i="4"/>
  <c r="H104" i="4"/>
  <c r="E12" i="11"/>
  <c r="I12" i="11"/>
  <c r="G85" i="11"/>
  <c r="I85" i="11"/>
  <c r="G12" i="11"/>
  <c r="P30" i="11"/>
  <c r="H30" i="1" s="1"/>
  <c r="M30" i="1" s="1"/>
  <c r="D85" i="11"/>
  <c r="E88" i="4"/>
  <c r="I88" i="4"/>
  <c r="E90" i="4"/>
  <c r="I90" i="4"/>
  <c r="E92" i="4"/>
  <c r="I92" i="4"/>
  <c r="I96" i="4"/>
  <c r="I98" i="4"/>
  <c r="E100" i="4"/>
  <c r="I100" i="4"/>
  <c r="I102" i="4"/>
  <c r="I104" i="4"/>
  <c r="D12" i="11"/>
  <c r="P88" i="11"/>
  <c r="H88" i="1" s="1"/>
  <c r="P90" i="11"/>
  <c r="H90" i="1" s="1"/>
  <c r="P92" i="11"/>
  <c r="H92" i="1" s="1"/>
  <c r="P94" i="11"/>
  <c r="H52" i="1" s="1"/>
  <c r="P96" i="11"/>
  <c r="P98" i="11"/>
  <c r="H98" i="1" s="1"/>
  <c r="P100" i="11"/>
  <c r="H100" i="1" s="1"/>
  <c r="P102" i="11"/>
  <c r="H102" i="1" s="1"/>
  <c r="P104" i="11"/>
  <c r="H104" i="1" s="1"/>
  <c r="P20" i="11"/>
  <c r="H20" i="1" s="1"/>
  <c r="F26" i="11"/>
  <c r="D54" i="11"/>
  <c r="P57" i="11"/>
  <c r="H57" i="1" s="1"/>
  <c r="F15" i="4"/>
  <c r="F20" i="4"/>
  <c r="F21" i="4"/>
  <c r="F22" i="4"/>
  <c r="F23" i="4"/>
  <c r="F24" i="4"/>
  <c r="F37" i="4"/>
  <c r="F39" i="4"/>
  <c r="F41" i="4"/>
  <c r="F46" i="4"/>
  <c r="F48" i="4"/>
  <c r="F51" i="4"/>
  <c r="F56" i="4"/>
  <c r="F58" i="4"/>
  <c r="F60" i="4"/>
  <c r="F62" i="4"/>
  <c r="F64" i="4"/>
  <c r="F66" i="4"/>
  <c r="F68" i="4"/>
  <c r="F70" i="4"/>
  <c r="F72" i="4"/>
  <c r="F74" i="4"/>
  <c r="F76" i="4"/>
  <c r="F78" i="4"/>
  <c r="F80" i="4"/>
  <c r="F82" i="4"/>
  <c r="E18" i="11"/>
  <c r="I43" i="11"/>
  <c r="G15" i="4"/>
  <c r="G16" i="4"/>
  <c r="G17" i="4"/>
  <c r="G21" i="4"/>
  <c r="G22" i="4"/>
  <c r="G23" i="4"/>
  <c r="G24" i="4"/>
  <c r="G41" i="4"/>
  <c r="G46" i="4"/>
  <c r="G48" i="4"/>
  <c r="G51" i="4"/>
  <c r="G58" i="4"/>
  <c r="G60" i="4"/>
  <c r="G62" i="4"/>
  <c r="G64" i="4"/>
  <c r="G66" i="4"/>
  <c r="G68" i="4"/>
  <c r="G70" i="4"/>
  <c r="G72" i="4"/>
  <c r="G74" i="4"/>
  <c r="G76" i="4"/>
  <c r="G78" i="4"/>
  <c r="G80" i="4"/>
  <c r="G82" i="4"/>
  <c r="G87" i="4"/>
  <c r="G89" i="4"/>
  <c r="G91" i="4"/>
  <c r="G93" i="4"/>
  <c r="G95" i="4"/>
  <c r="G97" i="4"/>
  <c r="G99" i="4"/>
  <c r="G101" i="4"/>
  <c r="G103" i="4"/>
  <c r="P21" i="11"/>
  <c r="H21" i="1" s="1"/>
  <c r="P22" i="11"/>
  <c r="H22" i="1" s="1"/>
  <c r="P23" i="11"/>
  <c r="H23" i="1" s="1"/>
  <c r="P46" i="11"/>
  <c r="H46" i="1" s="1"/>
  <c r="P51" i="11"/>
  <c r="H51" i="1" s="1"/>
  <c r="P66" i="11"/>
  <c r="H66" i="1" s="1"/>
  <c r="P70" i="11"/>
  <c r="H71" i="1" s="1"/>
  <c r="P74" i="11"/>
  <c r="H74" i="1" s="1"/>
  <c r="P78" i="11"/>
  <c r="H78" i="1" s="1"/>
  <c r="P82" i="11"/>
  <c r="H82" i="1" s="1"/>
  <c r="P29" i="11"/>
  <c r="H29" i="1" s="1"/>
  <c r="M29" i="1" s="1"/>
  <c r="E29" i="4"/>
  <c r="P29" i="4" s="1"/>
  <c r="F18" i="11"/>
  <c r="F7" i="4"/>
  <c r="H14" i="4"/>
  <c r="H16" i="4"/>
  <c r="H17" i="4"/>
  <c r="H36" i="4"/>
  <c r="D38" i="4"/>
  <c r="H38" i="4"/>
  <c r="D40" i="4"/>
  <c r="D42" i="4"/>
  <c r="D47" i="4"/>
  <c r="H47" i="4"/>
  <c r="D49" i="4"/>
  <c r="H49" i="4"/>
  <c r="D52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D87" i="4"/>
  <c r="H87" i="4"/>
  <c r="D89" i="4"/>
  <c r="H89" i="4"/>
  <c r="D91" i="4"/>
  <c r="H91" i="4"/>
  <c r="H93" i="4"/>
  <c r="H95" i="4"/>
  <c r="D97" i="4"/>
  <c r="H97" i="4"/>
  <c r="H99" i="4"/>
  <c r="D101" i="4"/>
  <c r="H101" i="4"/>
  <c r="D103" i="4"/>
  <c r="H103" i="4"/>
  <c r="I54" i="11"/>
  <c r="P89" i="11"/>
  <c r="H89" i="1" s="1"/>
  <c r="P93" i="11"/>
  <c r="H93" i="1" s="1"/>
  <c r="P97" i="11"/>
  <c r="H97" i="1" s="1"/>
  <c r="P101" i="11"/>
  <c r="H101" i="1" s="1"/>
  <c r="P105" i="11"/>
  <c r="H105" i="1" s="1"/>
  <c r="P26" i="12"/>
  <c r="Q26" i="12" s="1"/>
  <c r="P18" i="12"/>
  <c r="Q18" i="12" s="1"/>
  <c r="D105" i="7"/>
  <c r="H105" i="7"/>
  <c r="I43" i="7"/>
  <c r="P26" i="13"/>
  <c r="F86" i="4"/>
  <c r="F105" i="4" s="1"/>
  <c r="F26" i="7"/>
  <c r="P18" i="14"/>
  <c r="Q18" i="14" s="1"/>
  <c r="P103" i="7"/>
  <c r="G104" i="1" s="1"/>
  <c r="P70" i="7"/>
  <c r="G71" i="1" s="1"/>
  <c r="P14" i="7"/>
  <c r="G14" i="1" s="1"/>
  <c r="P16" i="7"/>
  <c r="G16" i="1" s="1"/>
  <c r="P21" i="7"/>
  <c r="G21" i="1" s="1"/>
  <c r="P22" i="7"/>
  <c r="G22" i="1" s="1"/>
  <c r="P23" i="7"/>
  <c r="G23" i="1" s="1"/>
  <c r="P24" i="7"/>
  <c r="G24" i="1" s="1"/>
  <c r="P48" i="7"/>
  <c r="G48" i="1" s="1"/>
  <c r="P59" i="7"/>
  <c r="G60" i="1" s="1"/>
  <c r="P61" i="7"/>
  <c r="G62" i="1" s="1"/>
  <c r="P76" i="7"/>
  <c r="G77" i="1" s="1"/>
  <c r="P79" i="7"/>
  <c r="G80" i="1" s="1"/>
  <c r="G56" i="4"/>
  <c r="G9" i="1"/>
  <c r="P17" i="7"/>
  <c r="G17" i="1" s="1"/>
  <c r="D17" i="4"/>
  <c r="D26" i="7"/>
  <c r="P20" i="7"/>
  <c r="G20" i="1" s="1"/>
  <c r="D20" i="4"/>
  <c r="D24" i="4"/>
  <c r="P62" i="7"/>
  <c r="G63" i="1" s="1"/>
  <c r="E7" i="4"/>
  <c r="G105" i="7"/>
  <c r="G86" i="4"/>
  <c r="D35" i="4"/>
  <c r="G20" i="4"/>
  <c r="D21" i="4"/>
  <c r="D79" i="4"/>
  <c r="P11" i="7"/>
  <c r="G11" i="1" s="1"/>
  <c r="P15" i="7"/>
  <c r="G15" i="1" s="1"/>
  <c r="D15" i="4"/>
  <c r="P25" i="7"/>
  <c r="G25" i="1" s="1"/>
  <c r="M25" i="1" s="1"/>
  <c r="D25" i="4"/>
  <c r="P25" i="4" s="1"/>
  <c r="P55" i="7"/>
  <c r="G56" i="1" s="1"/>
  <c r="D84" i="7"/>
  <c r="D56" i="4"/>
  <c r="H84" i="7"/>
  <c r="H56" i="4"/>
  <c r="P60" i="7"/>
  <c r="G61" i="1" s="1"/>
  <c r="D60" i="4"/>
  <c r="P67" i="7"/>
  <c r="G68" i="1" s="1"/>
  <c r="P68" i="7"/>
  <c r="G69" i="1" s="1"/>
  <c r="P71" i="7"/>
  <c r="G72" i="1" s="1"/>
  <c r="P72" i="7"/>
  <c r="G73" i="1" s="1"/>
  <c r="P73" i="7"/>
  <c r="G74" i="1" s="1"/>
  <c r="P74" i="7"/>
  <c r="G75" i="1" s="1"/>
  <c r="P80" i="7"/>
  <c r="G81" i="1" s="1"/>
  <c r="D80" i="4"/>
  <c r="P81" i="7"/>
  <c r="G82" i="1" s="1"/>
  <c r="D81" i="4"/>
  <c r="D82" i="4"/>
  <c r="P82" i="7"/>
  <c r="G83" i="1" s="1"/>
  <c r="P83" i="7"/>
  <c r="G84" i="1" s="1"/>
  <c r="D83" i="4"/>
  <c r="D95" i="4"/>
  <c r="P95" i="7"/>
  <c r="G96" i="1" s="1"/>
  <c r="D99" i="4"/>
  <c r="P99" i="7"/>
  <c r="G100" i="1" s="1"/>
  <c r="D16" i="4"/>
  <c r="H20" i="4"/>
  <c r="D22" i="4"/>
  <c r="D48" i="4"/>
  <c r="D59" i="4"/>
  <c r="D61" i="4"/>
  <c r="D14" i="4"/>
  <c r="D23" i="4"/>
  <c r="G52" i="4"/>
  <c r="E84" i="7"/>
  <c r="E56" i="4"/>
  <c r="E105" i="7"/>
  <c r="E86" i="4"/>
  <c r="I105" i="7"/>
  <c r="I86" i="4"/>
  <c r="P93" i="7"/>
  <c r="G94" i="1" s="1"/>
  <c r="P94" i="7"/>
  <c r="G95" i="1" s="1"/>
  <c r="P96" i="7"/>
  <c r="G97" i="1" s="1"/>
  <c r="P98" i="7"/>
  <c r="G99" i="1" s="1"/>
  <c r="E98" i="4"/>
  <c r="P102" i="7"/>
  <c r="G103" i="1" s="1"/>
  <c r="E102" i="4"/>
  <c r="P104" i="7"/>
  <c r="G105" i="1" s="1"/>
  <c r="E104" i="4"/>
  <c r="E20" i="4"/>
  <c r="I20" i="4"/>
  <c r="E96" i="4"/>
  <c r="P7" i="7"/>
  <c r="G7" i="1" s="1"/>
  <c r="P42" i="7"/>
  <c r="G42" i="1" s="1"/>
  <c r="F84" i="7"/>
  <c r="E93" i="4"/>
  <c r="F26" i="1"/>
  <c r="P26" i="8"/>
  <c r="Q26" i="8" s="1"/>
  <c r="P18" i="8"/>
  <c r="Q18" i="8" s="1"/>
  <c r="P26" i="9"/>
  <c r="K69" i="4"/>
  <c r="O69" i="4"/>
  <c r="M69" i="4"/>
  <c r="P12" i="5"/>
  <c r="O84" i="7"/>
  <c r="P58" i="7"/>
  <c r="G59" i="1" s="1"/>
  <c r="P58" i="2"/>
  <c r="F59" i="1" s="1"/>
  <c r="N12" i="12"/>
  <c r="N32" i="12" s="1"/>
  <c r="M53" i="2"/>
  <c r="O53" i="2"/>
  <c r="L53" i="2"/>
  <c r="K6" i="7"/>
  <c r="O12" i="12"/>
  <c r="O32" i="12" s="1"/>
  <c r="L6" i="7"/>
  <c r="L12" i="7" s="1"/>
  <c r="M32" i="5"/>
  <c r="L32" i="5"/>
  <c r="P92" i="7"/>
  <c r="G93" i="1" s="1"/>
  <c r="F51" i="1"/>
  <c r="J53" i="2"/>
  <c r="F53" i="1"/>
  <c r="J52" i="4"/>
  <c r="J53" i="4" s="1"/>
  <c r="P63" i="2"/>
  <c r="F64" i="1" s="1"/>
  <c r="J84" i="2"/>
  <c r="N65" i="4"/>
  <c r="P64" i="7"/>
  <c r="G65" i="1" s="1"/>
  <c r="P65" i="7"/>
  <c r="G66" i="1" s="1"/>
  <c r="L63" i="4"/>
  <c r="J63" i="4"/>
  <c r="N63" i="4"/>
  <c r="K32" i="5"/>
  <c r="J33" i="10"/>
  <c r="P106" i="10"/>
  <c r="Q106" i="10" s="1"/>
  <c r="N107" i="10"/>
  <c r="L12" i="11"/>
  <c r="H9" i="1"/>
  <c r="P13" i="10"/>
  <c r="J12" i="11"/>
  <c r="K106" i="1"/>
  <c r="J85" i="1"/>
  <c r="I54" i="1"/>
  <c r="I85" i="1"/>
  <c r="J106" i="1"/>
  <c r="L12" i="1"/>
  <c r="K12" i="1"/>
  <c r="P41" i="11"/>
  <c r="H41" i="1" s="1"/>
  <c r="P35" i="11"/>
  <c r="H35" i="1" s="1"/>
  <c r="J43" i="17"/>
  <c r="J106" i="17" s="1"/>
  <c r="J109" i="17" s="1"/>
  <c r="K63" i="4"/>
  <c r="O63" i="4"/>
  <c r="M63" i="4"/>
  <c r="P69" i="2"/>
  <c r="F70" i="1" s="1"/>
  <c r="P84" i="5"/>
  <c r="Q84" i="5" s="1"/>
  <c r="N69" i="4"/>
  <c r="L69" i="4"/>
  <c r="J69" i="4"/>
  <c r="P69" i="7"/>
  <c r="G70" i="1" s="1"/>
  <c r="P30" i="4"/>
  <c r="J39" i="1"/>
  <c r="P7" i="2"/>
  <c r="F7" i="1" s="1"/>
  <c r="M84" i="2"/>
  <c r="M57" i="4"/>
  <c r="L57" i="4"/>
  <c r="K84" i="2"/>
  <c r="N57" i="4"/>
  <c r="P57" i="2"/>
  <c r="F58" i="1" s="1"/>
  <c r="I90" i="1"/>
  <c r="P78" i="7"/>
  <c r="G79" i="1" s="1"/>
  <c r="K78" i="4"/>
  <c r="P77" i="7"/>
  <c r="G78" i="1" s="1"/>
  <c r="O66" i="4"/>
  <c r="P66" i="7"/>
  <c r="G67" i="1" s="1"/>
  <c r="M66" i="4"/>
  <c r="K84" i="7"/>
  <c r="M84" i="7"/>
  <c r="O57" i="4"/>
  <c r="P57" i="7"/>
  <c r="G58" i="1" s="1"/>
  <c r="L56" i="4"/>
  <c r="P100" i="7"/>
  <c r="G101" i="1" s="1"/>
  <c r="K101" i="4"/>
  <c r="O101" i="4"/>
  <c r="N101" i="4"/>
  <c r="J101" i="4"/>
  <c r="J105" i="4" s="1"/>
  <c r="P101" i="7"/>
  <c r="G102" i="1" s="1"/>
  <c r="P92" i="2"/>
  <c r="F93" i="1" s="1"/>
  <c r="K105" i="2"/>
  <c r="P101" i="2"/>
  <c r="F102" i="1" s="1"/>
  <c r="J20" i="1"/>
  <c r="J26" i="1" s="1"/>
  <c r="K66" i="4"/>
  <c r="O84" i="2"/>
  <c r="P66" i="2"/>
  <c r="F67" i="1" s="1"/>
  <c r="P67" i="2"/>
  <c r="F68" i="1" s="1"/>
  <c r="N84" i="2"/>
  <c r="P84" i="3"/>
  <c r="Q84" i="3" s="1"/>
  <c r="L106" i="1"/>
  <c r="P97" i="7"/>
  <c r="G98" i="1" s="1"/>
  <c r="M105" i="7"/>
  <c r="P88" i="7"/>
  <c r="G89" i="1" s="1"/>
  <c r="P105" i="13"/>
  <c r="P87" i="7"/>
  <c r="G88" i="1" s="1"/>
  <c r="N105" i="7"/>
  <c r="J105" i="7"/>
  <c r="L105" i="7"/>
  <c r="P90" i="7"/>
  <c r="G91" i="1" s="1"/>
  <c r="P105" i="12"/>
  <c r="Q105" i="12" s="1"/>
  <c r="P105" i="14"/>
  <c r="Q105" i="14" s="1"/>
  <c r="M86" i="4"/>
  <c r="P105" i="6"/>
  <c r="Q105" i="6" s="1"/>
  <c r="L89" i="4"/>
  <c r="L105" i="4" s="1"/>
  <c r="J105" i="2"/>
  <c r="P105" i="8"/>
  <c r="Q105" i="8" s="1"/>
  <c r="M89" i="4"/>
  <c r="N89" i="4"/>
  <c r="K89" i="4"/>
  <c r="O89" i="4"/>
  <c r="P105" i="9"/>
  <c r="P89" i="2"/>
  <c r="F90" i="1" s="1"/>
  <c r="P105" i="17"/>
  <c r="Q105" i="17" s="1"/>
  <c r="P89" i="7"/>
  <c r="G90" i="1" s="1"/>
  <c r="K105" i="7"/>
  <c r="O105" i="7"/>
  <c r="M18" i="2"/>
  <c r="J43" i="15"/>
  <c r="J105" i="15" s="1"/>
  <c r="J108" i="15" s="1"/>
  <c r="L43" i="2"/>
  <c r="K18" i="11"/>
  <c r="K17" i="4"/>
  <c r="J17" i="4"/>
  <c r="H52" i="4"/>
  <c r="H54" i="11"/>
  <c r="I52" i="4"/>
  <c r="I53" i="4" s="1"/>
  <c r="G54" i="11"/>
  <c r="E42" i="4"/>
  <c r="E43" i="11"/>
  <c r="H42" i="4"/>
  <c r="H43" i="11"/>
  <c r="G42" i="4"/>
  <c r="I42" i="4"/>
  <c r="I56" i="4"/>
  <c r="J106" i="14"/>
  <c r="P75" i="7"/>
  <c r="G76" i="1" s="1"/>
  <c r="F36" i="4"/>
  <c r="G39" i="4"/>
  <c r="F38" i="4"/>
  <c r="G35" i="4"/>
  <c r="J75" i="4"/>
  <c r="E35" i="4"/>
  <c r="H35" i="4"/>
  <c r="J43" i="25"/>
  <c r="J106" i="25" s="1"/>
  <c r="J109" i="25" s="1"/>
  <c r="M43" i="17"/>
  <c r="M106" i="17" s="1"/>
  <c r="P40" i="8"/>
  <c r="M43" i="8"/>
  <c r="M106" i="8" s="1"/>
  <c r="P41" i="8"/>
  <c r="J39" i="3"/>
  <c r="P39" i="3" s="1"/>
  <c r="L39" i="1" s="1"/>
  <c r="P39" i="25"/>
  <c r="P36" i="15"/>
  <c r="I36" i="1" s="1"/>
  <c r="J35" i="4"/>
  <c r="O36" i="4"/>
  <c r="J40" i="3"/>
  <c r="P40" i="3" s="1"/>
  <c r="L40" i="1" s="1"/>
  <c r="P40" i="25"/>
  <c r="L36" i="4"/>
  <c r="J37" i="3"/>
  <c r="P37" i="3" s="1"/>
  <c r="L37" i="1" s="1"/>
  <c r="P37" i="25"/>
  <c r="J36" i="3"/>
  <c r="P36" i="3" s="1"/>
  <c r="L36" i="1" s="1"/>
  <c r="P36" i="25"/>
  <c r="J41" i="3"/>
  <c r="P41" i="3" s="1"/>
  <c r="L41" i="1" s="1"/>
  <c r="P41" i="25"/>
  <c r="P45" i="11"/>
  <c r="H45" i="1" s="1"/>
  <c r="P54" i="10"/>
  <c r="Q54" i="10" s="1"/>
  <c r="F42" i="4"/>
  <c r="P84" i="12"/>
  <c r="Q84" i="12" s="1"/>
  <c r="P53" i="12"/>
  <c r="Q53" i="12" s="1"/>
  <c r="F35" i="4"/>
  <c r="K106" i="13"/>
  <c r="P84" i="14"/>
  <c r="Q84" i="14" s="1"/>
  <c r="O106" i="14"/>
  <c r="N84" i="7"/>
  <c r="P63" i="7"/>
  <c r="G64" i="1" s="1"/>
  <c r="J84" i="7"/>
  <c r="P52" i="7"/>
  <c r="G53" i="1" s="1"/>
  <c r="P45" i="7"/>
  <c r="G45" i="1" s="1"/>
  <c r="P46" i="7"/>
  <c r="G46" i="1" s="1"/>
  <c r="P47" i="7"/>
  <c r="G47" i="1" s="1"/>
  <c r="P49" i="7"/>
  <c r="G49" i="1" s="1"/>
  <c r="P53" i="6"/>
  <c r="Q53" i="6" s="1"/>
  <c r="N106" i="6"/>
  <c r="N109" i="6" s="1"/>
  <c r="P51" i="7"/>
  <c r="G51" i="1" s="1"/>
  <c r="J106" i="6"/>
  <c r="F49" i="1"/>
  <c r="F47" i="1"/>
  <c r="P53" i="8"/>
  <c r="Q53" i="8" s="1"/>
  <c r="P84" i="9"/>
  <c r="K53" i="2"/>
  <c r="K48" i="4"/>
  <c r="F45" i="1"/>
  <c r="P53" i="9"/>
  <c r="F9" i="1"/>
  <c r="L16" i="4"/>
  <c r="N18" i="2"/>
  <c r="N16" i="4"/>
  <c r="J16" i="4"/>
  <c r="P16" i="2"/>
  <c r="F16" i="1" s="1"/>
  <c r="P39" i="7"/>
  <c r="G39" i="1" s="1"/>
  <c r="P38" i="7"/>
  <c r="G38" i="1" s="1"/>
  <c r="P38" i="2"/>
  <c r="F38" i="1" s="1"/>
  <c r="J32" i="8"/>
  <c r="M14" i="4"/>
  <c r="M18" i="4" s="1"/>
  <c r="N14" i="4"/>
  <c r="O18" i="2"/>
  <c r="L14" i="4"/>
  <c r="K18" i="2"/>
  <c r="F28" i="1"/>
  <c r="P37" i="7"/>
  <c r="G37" i="1" s="1"/>
  <c r="P41" i="7"/>
  <c r="G41" i="1" s="1"/>
  <c r="P40" i="7"/>
  <c r="G40" i="1" s="1"/>
  <c r="P43" i="12"/>
  <c r="M43" i="7"/>
  <c r="L43" i="7"/>
  <c r="P43" i="13"/>
  <c r="N43" i="2"/>
  <c r="N43" i="7"/>
  <c r="J43" i="7"/>
  <c r="P43" i="6"/>
  <c r="P36" i="7"/>
  <c r="G36" i="1" s="1"/>
  <c r="P43" i="14"/>
  <c r="P44" i="10"/>
  <c r="K35" i="4"/>
  <c r="P105" i="3"/>
  <c r="Q105" i="3" s="1"/>
  <c r="L57" i="1"/>
  <c r="L85" i="1" s="1"/>
  <c r="L46" i="1"/>
  <c r="P12" i="3"/>
  <c r="Q12" i="3" s="1"/>
  <c r="P18" i="3"/>
  <c r="L32" i="3"/>
  <c r="M32" i="3"/>
  <c r="P26" i="3"/>
  <c r="L107" i="10"/>
  <c r="P35" i="17"/>
  <c r="N35" i="4"/>
  <c r="O35" i="4"/>
  <c r="O43" i="2"/>
  <c r="N106" i="8"/>
  <c r="L106" i="6"/>
  <c r="L106" i="13"/>
  <c r="J106" i="8"/>
  <c r="P35" i="7"/>
  <c r="G35" i="1" s="1"/>
  <c r="J43" i="2"/>
  <c r="Q43" i="6"/>
  <c r="Q43" i="14"/>
  <c r="M106" i="3"/>
  <c r="K106" i="3"/>
  <c r="O106" i="3"/>
  <c r="L106" i="3"/>
  <c r="N105" i="15"/>
  <c r="N108" i="15" s="1"/>
  <c r="K105" i="15"/>
  <c r="O105" i="15"/>
  <c r="I35" i="1"/>
  <c r="J35" i="1"/>
  <c r="J42" i="4"/>
  <c r="M42" i="4"/>
  <c r="M43" i="11"/>
  <c r="K42" i="4"/>
  <c r="K43" i="11"/>
  <c r="O42" i="4"/>
  <c r="O43" i="11"/>
  <c r="N42" i="4"/>
  <c r="L43" i="11"/>
  <c r="K107" i="10"/>
  <c r="O107" i="10"/>
  <c r="M107" i="10"/>
  <c r="J43" i="11"/>
  <c r="J107" i="10"/>
  <c r="P42" i="11"/>
  <c r="H42" i="1" s="1"/>
  <c r="Q44" i="10"/>
  <c r="M106" i="12"/>
  <c r="K106" i="12"/>
  <c r="O106" i="12"/>
  <c r="L106" i="12"/>
  <c r="Q43" i="12"/>
  <c r="O106" i="13"/>
  <c r="N106" i="13"/>
  <c r="J106" i="13"/>
  <c r="K106" i="14"/>
  <c r="M106" i="14"/>
  <c r="M109" i="14" s="1"/>
  <c r="K43" i="7"/>
  <c r="N106" i="14"/>
  <c r="K106" i="6"/>
  <c r="O106" i="6"/>
  <c r="L106" i="8"/>
  <c r="L109" i="8" s="1"/>
  <c r="K106" i="8"/>
  <c r="O106" i="8"/>
  <c r="M35" i="4"/>
  <c r="L35" i="4"/>
  <c r="O18" i="4"/>
  <c r="F18" i="7"/>
  <c r="N18" i="7"/>
  <c r="H18" i="7"/>
  <c r="L18" i="7"/>
  <c r="E18" i="4"/>
  <c r="I18" i="4"/>
  <c r="J18" i="7"/>
  <c r="E18" i="7"/>
  <c r="I18" i="7"/>
  <c r="M18" i="7"/>
  <c r="P18" i="6"/>
  <c r="Q18" i="6" s="1"/>
  <c r="L105" i="15"/>
  <c r="L108" i="15" s="1"/>
  <c r="P18" i="15"/>
  <c r="Q18" i="15" s="1"/>
  <c r="D32" i="15"/>
  <c r="H18" i="11"/>
  <c r="I18" i="11"/>
  <c r="M18" i="11"/>
  <c r="L18" i="11"/>
  <c r="F12" i="11"/>
  <c r="P18" i="18"/>
  <c r="Q18" i="18" s="1"/>
  <c r="P19" i="10"/>
  <c r="Q19" i="10" s="1"/>
  <c r="P15" i="11"/>
  <c r="H15" i="1" s="1"/>
  <c r="O32" i="11"/>
  <c r="P18" i="5"/>
  <c r="Q18" i="5" s="1"/>
  <c r="P14" i="11"/>
  <c r="H14" i="1" s="1"/>
  <c r="P16" i="11"/>
  <c r="H16" i="1" s="1"/>
  <c r="H6" i="1"/>
  <c r="N106" i="3"/>
  <c r="P83" i="15"/>
  <c r="Q83" i="15" s="1"/>
  <c r="M105" i="15"/>
  <c r="M108" i="15" s="1"/>
  <c r="P26" i="15"/>
  <c r="Q26" i="15" s="1"/>
  <c r="P18" i="17"/>
  <c r="Q18" i="17" s="1"/>
  <c r="D106" i="18"/>
  <c r="D109" i="18" s="1"/>
  <c r="H106" i="18"/>
  <c r="H109" i="18" s="1"/>
  <c r="L106" i="18"/>
  <c r="L109" i="18" s="1"/>
  <c r="J32" i="5"/>
  <c r="J31" i="4" s="1"/>
  <c r="P31" i="4" s="1"/>
  <c r="N32" i="5"/>
  <c r="O32" i="5"/>
  <c r="P85" i="10"/>
  <c r="Q85" i="10" s="1"/>
  <c r="K33" i="10"/>
  <c r="O33" i="10"/>
  <c r="L33" i="10"/>
  <c r="P27" i="10"/>
  <c r="Q27" i="10" s="1"/>
  <c r="L106" i="14"/>
  <c r="L109" i="14" s="1"/>
  <c r="P84" i="13"/>
  <c r="M106" i="13"/>
  <c r="J106" i="12"/>
  <c r="N106" i="12"/>
  <c r="D18" i="7"/>
  <c r="P18" i="13"/>
  <c r="P84" i="6"/>
  <c r="Q84" i="6" s="1"/>
  <c r="M106" i="6"/>
  <c r="M109" i="6" s="1"/>
  <c r="K32" i="6"/>
  <c r="O32" i="6"/>
  <c r="P26" i="6"/>
  <c r="Q26" i="6" s="1"/>
  <c r="P86" i="7"/>
  <c r="G87" i="1" s="1"/>
  <c r="P56" i="7"/>
  <c r="P84" i="8"/>
  <c r="Q84" i="8" s="1"/>
  <c r="P35" i="2"/>
  <c r="P26" i="2"/>
  <c r="Q26" i="2" s="1"/>
  <c r="J18" i="2"/>
  <c r="P18" i="9"/>
  <c r="P14" i="2"/>
  <c r="Q12" i="17"/>
  <c r="J109" i="8" l="1"/>
  <c r="M109" i="8"/>
  <c r="K109" i="8"/>
  <c r="O109" i="8"/>
  <c r="N109" i="8"/>
  <c r="O52" i="4"/>
  <c r="O53" i="4" s="1"/>
  <c r="J107" i="11"/>
  <c r="M107" i="11"/>
  <c r="M52" i="4"/>
  <c r="M53" i="4" s="1"/>
  <c r="H6" i="7"/>
  <c r="H12" i="7" s="1"/>
  <c r="H32" i="7" s="1"/>
  <c r="P6" i="12"/>
  <c r="P12" i="12" s="1"/>
  <c r="P32" i="12" s="1"/>
  <c r="Q32" i="12" s="1"/>
  <c r="L52" i="4"/>
  <c r="L53" i="4" s="1"/>
  <c r="H69" i="1"/>
  <c r="H70" i="1"/>
  <c r="M70" i="1" s="1"/>
  <c r="K6" i="2"/>
  <c r="F6" i="7"/>
  <c r="F12" i="7" s="1"/>
  <c r="F32" i="7" s="1"/>
  <c r="N6" i="2"/>
  <c r="E53" i="4"/>
  <c r="O107" i="11"/>
  <c r="O110" i="11" s="1"/>
  <c r="N52" i="4"/>
  <c r="N53" i="4" s="1"/>
  <c r="N107" i="11"/>
  <c r="K107" i="11"/>
  <c r="K52" i="4"/>
  <c r="L107" i="11"/>
  <c r="P53" i="11"/>
  <c r="H53" i="1" s="1"/>
  <c r="H54" i="1" s="1"/>
  <c r="G6" i="7"/>
  <c r="G12" i="7" s="1"/>
  <c r="G32" i="7" s="1"/>
  <c r="M12" i="12"/>
  <c r="M32" i="12" s="1"/>
  <c r="E12" i="12"/>
  <c r="E32" i="12" s="1"/>
  <c r="E109" i="12" s="1"/>
  <c r="H96" i="1"/>
  <c r="H95" i="1"/>
  <c r="M95" i="1" s="1"/>
  <c r="M52" i="1"/>
  <c r="K18" i="4"/>
  <c r="D6" i="9"/>
  <c r="D6" i="2" s="1"/>
  <c r="Y23" i="21"/>
  <c r="M6" i="2"/>
  <c r="O6" i="2"/>
  <c r="P6" i="8"/>
  <c r="P12" i="8" s="1"/>
  <c r="Q12" i="8" s="1"/>
  <c r="E12" i="8"/>
  <c r="E32" i="8" s="1"/>
  <c r="E109" i="8" s="1"/>
  <c r="L6" i="2"/>
  <c r="M9" i="1"/>
  <c r="P32" i="17"/>
  <c r="D32" i="11"/>
  <c r="J109" i="18"/>
  <c r="J109" i="13"/>
  <c r="I26" i="4"/>
  <c r="M110" i="10"/>
  <c r="E26" i="4"/>
  <c r="M26" i="4"/>
  <c r="O108" i="15"/>
  <c r="K108" i="15"/>
  <c r="K109" i="5"/>
  <c r="G109" i="18"/>
  <c r="J26" i="4"/>
  <c r="M15" i="1"/>
  <c r="I32" i="1"/>
  <c r="D36" i="4"/>
  <c r="D43" i="4" s="1"/>
  <c r="P40" i="11"/>
  <c r="H40" i="1" s="1"/>
  <c r="P36" i="2"/>
  <c r="F36" i="1" s="1"/>
  <c r="P43" i="16"/>
  <c r="P106" i="16" s="1"/>
  <c r="P109" i="16" s="1"/>
  <c r="F40" i="4"/>
  <c r="F43" i="4" s="1"/>
  <c r="P36" i="11"/>
  <c r="H36" i="1" s="1"/>
  <c r="G37" i="4"/>
  <c r="G43" i="11"/>
  <c r="G107" i="11" s="1"/>
  <c r="L109" i="6"/>
  <c r="K109" i="13"/>
  <c r="N109" i="13"/>
  <c r="M109" i="12"/>
  <c r="J109" i="14"/>
  <c r="N109" i="14"/>
  <c r="G6" i="9"/>
  <c r="G6" i="2" s="1"/>
  <c r="I6" i="9"/>
  <c r="H6" i="9"/>
  <c r="H6" i="2" s="1"/>
  <c r="E6" i="9"/>
  <c r="N109" i="3"/>
  <c r="N26" i="4"/>
  <c r="N109" i="18"/>
  <c r="E107" i="11"/>
  <c r="R19" i="10"/>
  <c r="H11" i="1"/>
  <c r="M11" i="1" s="1"/>
  <c r="N110" i="10"/>
  <c r="M109" i="13"/>
  <c r="O109" i="13"/>
  <c r="K109" i="14"/>
  <c r="P45" i="4"/>
  <c r="O109" i="18"/>
  <c r="M92" i="1"/>
  <c r="G109" i="17"/>
  <c r="L109" i="12"/>
  <c r="O109" i="3"/>
  <c r="K109" i="3"/>
  <c r="L109" i="13"/>
  <c r="M109" i="17"/>
  <c r="P32" i="18"/>
  <c r="Q32" i="18" s="1"/>
  <c r="K109" i="12"/>
  <c r="J110" i="10"/>
  <c r="M28" i="1"/>
  <c r="J109" i="6"/>
  <c r="O109" i="14"/>
  <c r="F109" i="18"/>
  <c r="I39" i="4"/>
  <c r="I43" i="4" s="1"/>
  <c r="L32" i="7"/>
  <c r="M32" i="7"/>
  <c r="P91" i="4"/>
  <c r="D106" i="7"/>
  <c r="M81" i="1"/>
  <c r="M24" i="1"/>
  <c r="M98" i="1"/>
  <c r="L32" i="1"/>
  <c r="M103" i="1"/>
  <c r="M83" i="1"/>
  <c r="M48" i="1"/>
  <c r="M82" i="1"/>
  <c r="M61" i="1"/>
  <c r="M22" i="1"/>
  <c r="M80" i="1"/>
  <c r="G40" i="4"/>
  <c r="P40" i="2"/>
  <c r="F40" i="1" s="1"/>
  <c r="P41" i="2"/>
  <c r="F41" i="1" s="1"/>
  <c r="P43" i="9"/>
  <c r="P106" i="9" s="1"/>
  <c r="E37" i="4"/>
  <c r="E43" i="4" s="1"/>
  <c r="J36" i="1"/>
  <c r="J43" i="1" s="1"/>
  <c r="J107" i="1" s="1"/>
  <c r="E84" i="4"/>
  <c r="P106" i="18"/>
  <c r="F106" i="7"/>
  <c r="G106" i="7"/>
  <c r="G109" i="7" s="1"/>
  <c r="Q43" i="16"/>
  <c r="K105" i="4"/>
  <c r="H109" i="17"/>
  <c r="O105" i="4"/>
  <c r="D6" i="7"/>
  <c r="D12" i="7" s="1"/>
  <c r="D32" i="7" s="1"/>
  <c r="Q43" i="5"/>
  <c r="L106" i="5"/>
  <c r="L109" i="5" s="1"/>
  <c r="P43" i="5"/>
  <c r="P106" i="5" s="1"/>
  <c r="F18" i="4"/>
  <c r="K32" i="1"/>
  <c r="M79" i="1"/>
  <c r="M21" i="1"/>
  <c r="O109" i="12"/>
  <c r="N109" i="12"/>
  <c r="J6" i="7"/>
  <c r="J12" i="7" s="1"/>
  <c r="J32" i="7" s="1"/>
  <c r="J12" i="12"/>
  <c r="J32" i="12" s="1"/>
  <c r="J109" i="12" s="1"/>
  <c r="F12" i="9"/>
  <c r="F32" i="9" s="1"/>
  <c r="F109" i="9" s="1"/>
  <c r="P32" i="13"/>
  <c r="I106" i="7"/>
  <c r="L106" i="2"/>
  <c r="E43" i="17"/>
  <c r="E106" i="17" s="1"/>
  <c r="E109" i="17" s="1"/>
  <c r="E32" i="11"/>
  <c r="L32" i="11"/>
  <c r="M99" i="1"/>
  <c r="M104" i="1"/>
  <c r="M63" i="1"/>
  <c r="M60" i="1"/>
  <c r="G32" i="11"/>
  <c r="I32" i="11"/>
  <c r="H32" i="11"/>
  <c r="M71" i="1"/>
  <c r="H18" i="4"/>
  <c r="G18" i="4"/>
  <c r="P103" i="4"/>
  <c r="P47" i="4"/>
  <c r="P61" i="4"/>
  <c r="H26" i="4"/>
  <c r="P55" i="4"/>
  <c r="P49" i="4"/>
  <c r="P23" i="4"/>
  <c r="P62" i="4"/>
  <c r="I105" i="4"/>
  <c r="P78" i="4"/>
  <c r="P99" i="4"/>
  <c r="P74" i="4"/>
  <c r="P58" i="4"/>
  <c r="F53" i="4"/>
  <c r="P100" i="4"/>
  <c r="P94" i="4"/>
  <c r="P90" i="4"/>
  <c r="P92" i="4"/>
  <c r="P70" i="4"/>
  <c r="P51" i="4"/>
  <c r="P83" i="4"/>
  <c r="F84" i="4"/>
  <c r="H107" i="11"/>
  <c r="P59" i="4"/>
  <c r="P95" i="4"/>
  <c r="M56" i="1"/>
  <c r="P97" i="4"/>
  <c r="P87" i="4"/>
  <c r="H84" i="4"/>
  <c r="D107" i="11"/>
  <c r="Q12" i="5"/>
  <c r="M87" i="1"/>
  <c r="F32" i="11"/>
  <c r="P38" i="4"/>
  <c r="P102" i="4"/>
  <c r="M97" i="1"/>
  <c r="P48" i="4"/>
  <c r="M100" i="1"/>
  <c r="P81" i="4"/>
  <c r="M75" i="1"/>
  <c r="P60" i="4"/>
  <c r="G26" i="4"/>
  <c r="P7" i="4"/>
  <c r="Q7" i="4" s="1"/>
  <c r="M62" i="1"/>
  <c r="M23" i="1"/>
  <c r="P96" i="4"/>
  <c r="P79" i="4"/>
  <c r="I107" i="11"/>
  <c r="P88" i="4"/>
  <c r="P85" i="11"/>
  <c r="Q85" i="11" s="1"/>
  <c r="M91" i="1"/>
  <c r="M84" i="1"/>
  <c r="H26" i="1"/>
  <c r="F107" i="11"/>
  <c r="M88" i="1"/>
  <c r="H105" i="4"/>
  <c r="G53" i="4"/>
  <c r="P22" i="4"/>
  <c r="G84" i="4"/>
  <c r="H53" i="4"/>
  <c r="M101" i="1"/>
  <c r="P104" i="4"/>
  <c r="P98" i="4"/>
  <c r="M94" i="1"/>
  <c r="P80" i="4"/>
  <c r="P15" i="4"/>
  <c r="G105" i="4"/>
  <c r="F26" i="4"/>
  <c r="P26" i="11"/>
  <c r="Q26" i="11" s="1"/>
  <c r="P106" i="11"/>
  <c r="Q106" i="11" s="1"/>
  <c r="P46" i="4"/>
  <c r="M89" i="1"/>
  <c r="P93" i="4"/>
  <c r="M105" i="1"/>
  <c r="P82" i="4"/>
  <c r="P21" i="4"/>
  <c r="P24" i="4"/>
  <c r="E32" i="7"/>
  <c r="D53" i="4"/>
  <c r="M42" i="1"/>
  <c r="H106" i="7"/>
  <c r="G18" i="1"/>
  <c r="P18" i="7"/>
  <c r="Q18" i="7" s="1"/>
  <c r="G26" i="1"/>
  <c r="I32" i="7"/>
  <c r="P32" i="14"/>
  <c r="Q32" i="14" s="1"/>
  <c r="M7" i="1"/>
  <c r="D105" i="4"/>
  <c r="E106" i="7"/>
  <c r="P26" i="7"/>
  <c r="Q26" i="7" s="1"/>
  <c r="M46" i="1"/>
  <c r="E105" i="4"/>
  <c r="P20" i="4"/>
  <c r="P53" i="7"/>
  <c r="Q53" i="7" s="1"/>
  <c r="P86" i="4"/>
  <c r="M93" i="1"/>
  <c r="D26" i="4"/>
  <c r="P56" i="4"/>
  <c r="M20" i="1"/>
  <c r="O106" i="7"/>
  <c r="O109" i="7" s="1"/>
  <c r="J84" i="4"/>
  <c r="M109" i="5"/>
  <c r="M84" i="4"/>
  <c r="M59" i="1"/>
  <c r="O84" i="4"/>
  <c r="N84" i="4"/>
  <c r="L84" i="4"/>
  <c r="K106" i="2"/>
  <c r="K12" i="7"/>
  <c r="K32" i="7" s="1"/>
  <c r="K84" i="4"/>
  <c r="M51" i="1"/>
  <c r="N32" i="7"/>
  <c r="P14" i="4"/>
  <c r="K12" i="11"/>
  <c r="K32" i="11" s="1"/>
  <c r="P33" i="10"/>
  <c r="Q33" i="10" s="1"/>
  <c r="Q13" i="10"/>
  <c r="M12" i="11"/>
  <c r="M32" i="11" s="1"/>
  <c r="N12" i="11"/>
  <c r="N32" i="11" s="1"/>
  <c r="P12" i="11"/>
  <c r="Q12" i="11" s="1"/>
  <c r="F54" i="1"/>
  <c r="M45" i="1"/>
  <c r="M47" i="1"/>
  <c r="M102" i="1"/>
  <c r="M49" i="1"/>
  <c r="J32" i="1"/>
  <c r="L54" i="1"/>
  <c r="P43" i="15"/>
  <c r="P105" i="15" s="1"/>
  <c r="I43" i="1"/>
  <c r="M36" i="4"/>
  <c r="M43" i="4" s="1"/>
  <c r="H43" i="4"/>
  <c r="L110" i="10"/>
  <c r="P39" i="2"/>
  <c r="F39" i="1" s="1"/>
  <c r="O106" i="2"/>
  <c r="P69" i="4"/>
  <c r="Q43" i="8"/>
  <c r="M43" i="2"/>
  <c r="M106" i="2" s="1"/>
  <c r="N43" i="17"/>
  <c r="N106" i="17" s="1"/>
  <c r="N109" i="17" s="1"/>
  <c r="L43" i="1"/>
  <c r="M16" i="1"/>
  <c r="Q12" i="14"/>
  <c r="F85" i="1"/>
  <c r="M90" i="1"/>
  <c r="I106" i="1"/>
  <c r="M106" i="7"/>
  <c r="P101" i="4"/>
  <c r="N105" i="4"/>
  <c r="F106" i="1"/>
  <c r="J106" i="2"/>
  <c r="N106" i="2"/>
  <c r="P84" i="2"/>
  <c r="Q84" i="2" s="1"/>
  <c r="P106" i="14"/>
  <c r="N106" i="7"/>
  <c r="L106" i="7"/>
  <c r="J106" i="7"/>
  <c r="P106" i="12"/>
  <c r="M105" i="4"/>
  <c r="K106" i="7"/>
  <c r="G106" i="1"/>
  <c r="P105" i="2"/>
  <c r="Q105" i="2" s="1"/>
  <c r="P89" i="4"/>
  <c r="P105" i="7"/>
  <c r="Q105" i="7" s="1"/>
  <c r="N18" i="4"/>
  <c r="P16" i="4"/>
  <c r="J18" i="4"/>
  <c r="Q43" i="15"/>
  <c r="P37" i="2"/>
  <c r="F37" i="1" s="1"/>
  <c r="P43" i="8"/>
  <c r="P106" i="8" s="1"/>
  <c r="J32" i="11"/>
  <c r="P31" i="11"/>
  <c r="H31" i="1" s="1"/>
  <c r="M31" i="1" s="1"/>
  <c r="I84" i="4"/>
  <c r="N36" i="4"/>
  <c r="N43" i="4" s="1"/>
  <c r="K40" i="4"/>
  <c r="L43" i="17"/>
  <c r="L106" i="17" s="1"/>
  <c r="L109" i="17" s="1"/>
  <c r="Q43" i="3"/>
  <c r="J36" i="4"/>
  <c r="K43" i="17"/>
  <c r="K106" i="17" s="1"/>
  <c r="K109" i="17" s="1"/>
  <c r="O43" i="17"/>
  <c r="O106" i="17" s="1"/>
  <c r="O109" i="17" s="1"/>
  <c r="P36" i="17"/>
  <c r="K36" i="1" s="1"/>
  <c r="K36" i="4"/>
  <c r="Q43" i="25"/>
  <c r="P43" i="3"/>
  <c r="P106" i="3" s="1"/>
  <c r="P37" i="17"/>
  <c r="K37" i="1" s="1"/>
  <c r="P41" i="17"/>
  <c r="K41" i="1" s="1"/>
  <c r="J43" i="3"/>
  <c r="J106" i="3" s="1"/>
  <c r="J109" i="3" s="1"/>
  <c r="J41" i="4"/>
  <c r="P41" i="4" s="1"/>
  <c r="J40" i="4"/>
  <c r="J37" i="4"/>
  <c r="P39" i="17"/>
  <c r="K39" i="1" s="1"/>
  <c r="P43" i="25"/>
  <c r="P106" i="25" s="1"/>
  <c r="P109" i="25" s="1"/>
  <c r="J39" i="4"/>
  <c r="G43" i="1"/>
  <c r="P106" i="13"/>
  <c r="P84" i="7"/>
  <c r="Q84" i="7" s="1"/>
  <c r="G57" i="1"/>
  <c r="G85" i="1" s="1"/>
  <c r="G54" i="1"/>
  <c r="P106" i="6"/>
  <c r="P53" i="2"/>
  <c r="Q53" i="2" s="1"/>
  <c r="M38" i="1"/>
  <c r="L18" i="4"/>
  <c r="P18" i="2"/>
  <c r="F14" i="1"/>
  <c r="M14" i="1" s="1"/>
  <c r="L43" i="4"/>
  <c r="O43" i="4"/>
  <c r="J109" i="5"/>
  <c r="L109" i="3"/>
  <c r="Q18" i="3"/>
  <c r="Q26" i="3"/>
  <c r="P32" i="3"/>
  <c r="M109" i="3"/>
  <c r="O109" i="5"/>
  <c r="N109" i="5"/>
  <c r="K110" i="10"/>
  <c r="K35" i="1"/>
  <c r="P43" i="7"/>
  <c r="K109" i="6"/>
  <c r="Q43" i="7"/>
  <c r="P42" i="4"/>
  <c r="O110" i="10"/>
  <c r="O109" i="6"/>
  <c r="P35" i="4"/>
  <c r="F35" i="1"/>
  <c r="P32" i="15"/>
  <c r="Q32" i="15" s="1"/>
  <c r="P32" i="6"/>
  <c r="Q32" i="6" s="1"/>
  <c r="P17" i="11"/>
  <c r="H17" i="1" s="1"/>
  <c r="H18" i="1" s="1"/>
  <c r="P32" i="5"/>
  <c r="P107" i="10"/>
  <c r="Q32" i="17"/>
  <c r="M110" i="11" l="1"/>
  <c r="H85" i="1"/>
  <c r="J110" i="11"/>
  <c r="K110" i="11"/>
  <c r="H106" i="1"/>
  <c r="N110" i="11"/>
  <c r="P54" i="11"/>
  <c r="Q54" i="11" s="1"/>
  <c r="P52" i="4"/>
  <c r="P53" i="4" s="1"/>
  <c r="K53" i="4"/>
  <c r="L110" i="11"/>
  <c r="M53" i="1"/>
  <c r="M96" i="1"/>
  <c r="M106" i="1" s="1"/>
  <c r="D110" i="11"/>
  <c r="I12" i="9"/>
  <c r="I32" i="9" s="1"/>
  <c r="I109" i="9" s="1"/>
  <c r="I6" i="2"/>
  <c r="I12" i="2" s="1"/>
  <c r="I32" i="2" s="1"/>
  <c r="I109" i="2" s="1"/>
  <c r="E12" i="9"/>
  <c r="E32" i="9" s="1"/>
  <c r="E109" i="9" s="1"/>
  <c r="E6" i="2"/>
  <c r="E12" i="2" s="1"/>
  <c r="E32" i="2" s="1"/>
  <c r="E109" i="2" s="1"/>
  <c r="H12" i="1"/>
  <c r="H32" i="1" s="1"/>
  <c r="H43" i="1"/>
  <c r="M17" i="1"/>
  <c r="M18" i="1" s="1"/>
  <c r="Q109" i="16"/>
  <c r="E110" i="11"/>
  <c r="P43" i="11"/>
  <c r="P107" i="11" s="1"/>
  <c r="Q43" i="11"/>
  <c r="G43" i="4"/>
  <c r="G106" i="4" s="1"/>
  <c r="G12" i="9"/>
  <c r="G32" i="9" s="1"/>
  <c r="G109" i="9" s="1"/>
  <c r="H12" i="9"/>
  <c r="H32" i="9" s="1"/>
  <c r="H109" i="9" s="1"/>
  <c r="P109" i="18"/>
  <c r="P110" i="10"/>
  <c r="M109" i="7"/>
  <c r="P39" i="4"/>
  <c r="L109" i="7"/>
  <c r="D109" i="7"/>
  <c r="M40" i="1"/>
  <c r="M41" i="1"/>
  <c r="M36" i="1"/>
  <c r="H110" i="11"/>
  <c r="F109" i="7"/>
  <c r="I109" i="7"/>
  <c r="P32" i="8"/>
  <c r="Q32" i="8" s="1"/>
  <c r="P109" i="12"/>
  <c r="Q12" i="12"/>
  <c r="P6" i="7"/>
  <c r="G6" i="1" s="1"/>
  <c r="G12" i="1" s="1"/>
  <c r="G32" i="1" s="1"/>
  <c r="E109" i="7"/>
  <c r="N12" i="9"/>
  <c r="N32" i="9" s="1"/>
  <c r="N109" i="9" s="1"/>
  <c r="N6" i="4"/>
  <c r="N12" i="4" s="1"/>
  <c r="N32" i="4" s="1"/>
  <c r="O12" i="9"/>
  <c r="O32" i="9" s="1"/>
  <c r="O109" i="9" s="1"/>
  <c r="O12" i="2"/>
  <c r="O32" i="2" s="1"/>
  <c r="O109" i="2" s="1"/>
  <c r="L12" i="9"/>
  <c r="L32" i="9" s="1"/>
  <c r="L109" i="9" s="1"/>
  <c r="L12" i="2"/>
  <c r="L32" i="2" s="1"/>
  <c r="L109" i="2" s="1"/>
  <c r="M12" i="9"/>
  <c r="M32" i="9" s="1"/>
  <c r="M109" i="9" s="1"/>
  <c r="M6" i="4"/>
  <c r="M12" i="4" s="1"/>
  <c r="M32" i="4" s="1"/>
  <c r="P109" i="14"/>
  <c r="J110" i="1"/>
  <c r="J112" i="1" s="1"/>
  <c r="P6" i="9"/>
  <c r="P12" i="9" s="1"/>
  <c r="J109" i="7"/>
  <c r="G12" i="2"/>
  <c r="G32" i="2" s="1"/>
  <c r="G109" i="2" s="1"/>
  <c r="G6" i="4"/>
  <c r="G12" i="4" s="1"/>
  <c r="G32" i="4" s="1"/>
  <c r="F12" i="2"/>
  <c r="F32" i="2" s="1"/>
  <c r="F109" i="2" s="1"/>
  <c r="F6" i="4"/>
  <c r="F12" i="4" s="1"/>
  <c r="F32" i="4" s="1"/>
  <c r="J12" i="9"/>
  <c r="J32" i="9" s="1"/>
  <c r="J109" i="9" s="1"/>
  <c r="D12" i="9"/>
  <c r="D32" i="9" s="1"/>
  <c r="D109" i="9" s="1"/>
  <c r="H12" i="2"/>
  <c r="H32" i="2" s="1"/>
  <c r="H109" i="2" s="1"/>
  <c r="H6" i="4"/>
  <c r="H12" i="4" s="1"/>
  <c r="H32" i="4" s="1"/>
  <c r="K12" i="9"/>
  <c r="K32" i="9" s="1"/>
  <c r="K109" i="9" s="1"/>
  <c r="P109" i="13"/>
  <c r="I110" i="11"/>
  <c r="F110" i="11"/>
  <c r="G110" i="11"/>
  <c r="H109" i="7"/>
  <c r="P109" i="5"/>
  <c r="I106" i="4"/>
  <c r="F106" i="4"/>
  <c r="M26" i="1"/>
  <c r="H106" i="4"/>
  <c r="P26" i="4"/>
  <c r="E106" i="4"/>
  <c r="K109" i="7"/>
  <c r="N109" i="7"/>
  <c r="J12" i="2"/>
  <c r="J32" i="2" s="1"/>
  <c r="J109" i="2" s="1"/>
  <c r="J6" i="4"/>
  <c r="P105" i="4"/>
  <c r="N106" i="4"/>
  <c r="F18" i="1"/>
  <c r="L107" i="1"/>
  <c r="L110" i="1" s="1"/>
  <c r="L112" i="1" s="1"/>
  <c r="I107" i="1"/>
  <c r="I110" i="1" s="1"/>
  <c r="I112" i="1" s="1"/>
  <c r="M39" i="1"/>
  <c r="M37" i="1"/>
  <c r="M35" i="1"/>
  <c r="K43" i="4"/>
  <c r="L106" i="4"/>
  <c r="O106" i="4"/>
  <c r="M57" i="1"/>
  <c r="M106" i="4"/>
  <c r="Q43" i="2"/>
  <c r="P43" i="2"/>
  <c r="P106" i="2" s="1"/>
  <c r="P40" i="4"/>
  <c r="Q32" i="5"/>
  <c r="Q43" i="17"/>
  <c r="F43" i="1"/>
  <c r="F107" i="1" s="1"/>
  <c r="J43" i="4"/>
  <c r="J106" i="4" s="1"/>
  <c r="P36" i="4"/>
  <c r="P43" i="17"/>
  <c r="P37" i="4"/>
  <c r="K43" i="1"/>
  <c r="G107" i="1"/>
  <c r="Q18" i="2"/>
  <c r="Q32" i="3"/>
  <c r="P109" i="3"/>
  <c r="P106" i="7"/>
  <c r="P108" i="15"/>
  <c r="P109" i="6"/>
  <c r="P18" i="11"/>
  <c r="H107" i="1" l="1"/>
  <c r="P109" i="8"/>
  <c r="M44" i="1"/>
  <c r="M54" i="1" s="1"/>
  <c r="K106" i="4"/>
  <c r="E6" i="4"/>
  <c r="E12" i="4" s="1"/>
  <c r="E32" i="4" s="1"/>
  <c r="E109" i="4" s="1"/>
  <c r="I6" i="4"/>
  <c r="I12" i="4" s="1"/>
  <c r="I32" i="4" s="1"/>
  <c r="I109" i="4" s="1"/>
  <c r="L6" i="4"/>
  <c r="L12" i="4" s="1"/>
  <c r="L32" i="4" s="1"/>
  <c r="L109" i="4" s="1"/>
  <c r="M12" i="2"/>
  <c r="M32" i="2" s="1"/>
  <c r="M109" i="2" s="1"/>
  <c r="P12" i="7"/>
  <c r="P32" i="9"/>
  <c r="P109" i="9" s="1"/>
  <c r="N12" i="2"/>
  <c r="N32" i="2" s="1"/>
  <c r="N109" i="2" s="1"/>
  <c r="O6" i="4"/>
  <c r="O12" i="4" s="1"/>
  <c r="O32" i="4" s="1"/>
  <c r="O109" i="4" s="1"/>
  <c r="P6" i="2"/>
  <c r="P12" i="2" s="1"/>
  <c r="H109" i="4"/>
  <c r="D12" i="2"/>
  <c r="D32" i="2" s="1"/>
  <c r="D109" i="2" s="1"/>
  <c r="D6" i="4"/>
  <c r="D12" i="4" s="1"/>
  <c r="K12" i="2"/>
  <c r="K32" i="2" s="1"/>
  <c r="K109" i="2" s="1"/>
  <c r="K6" i="4"/>
  <c r="K12" i="4" s="1"/>
  <c r="K32" i="4" s="1"/>
  <c r="G109" i="4"/>
  <c r="F109" i="4"/>
  <c r="M109" i="4"/>
  <c r="N109" i="4"/>
  <c r="J12" i="4"/>
  <c r="J32" i="4" s="1"/>
  <c r="J109" i="4" s="1"/>
  <c r="M43" i="1"/>
  <c r="P43" i="4"/>
  <c r="P32" i="11"/>
  <c r="Q32" i="11" s="1"/>
  <c r="G110" i="1"/>
  <c r="G112" i="1" s="1"/>
  <c r="Q18" i="11"/>
  <c r="P17" i="4"/>
  <c r="P18" i="4" s="1"/>
  <c r="D18" i="4"/>
  <c r="K109" i="4" l="1"/>
  <c r="Q12" i="7"/>
  <c r="P32" i="7"/>
  <c r="F6" i="1"/>
  <c r="M6" i="1" s="1"/>
  <c r="D32" i="4"/>
  <c r="P6" i="4"/>
  <c r="P12" i="4" s="1"/>
  <c r="Q12" i="2"/>
  <c r="P32" i="2"/>
  <c r="P110" i="11"/>
  <c r="H110" i="1"/>
  <c r="H112" i="1" s="1"/>
  <c r="P109" i="7" l="1"/>
  <c r="Q32" i="7"/>
  <c r="P32" i="4"/>
  <c r="F12" i="1"/>
  <c r="F32" i="1" s="1"/>
  <c r="F110" i="1" s="1"/>
  <c r="F112" i="1" s="1"/>
  <c r="M12" i="1"/>
  <c r="Q32" i="2"/>
  <c r="P109" i="2"/>
  <c r="M32" i="1" l="1"/>
  <c r="P33" i="1" s="1"/>
  <c r="D57" i="4" l="1"/>
  <c r="P57" i="4" s="1"/>
  <c r="P57" i="17"/>
  <c r="K58" i="1"/>
  <c r="M58" i="1" s="1"/>
  <c r="K67" i="1"/>
  <c r="M67" i="1" s="1"/>
  <c r="D77" i="4"/>
  <c r="P77" i="4" s="1"/>
  <c r="D73" i="4"/>
  <c r="P73" i="4"/>
  <c r="D65" i="4"/>
  <c r="P65" i="4" s="1"/>
  <c r="D64" i="4"/>
  <c r="P64" i="4" s="1"/>
  <c r="P66" i="17"/>
  <c r="D66" i="4"/>
  <c r="P66" i="4" s="1"/>
  <c r="K69" i="1"/>
  <c r="M69" i="1" s="1"/>
  <c r="P71" i="17"/>
  <c r="K72" i="1" s="1"/>
  <c r="M72" i="1" s="1"/>
  <c r="D71" i="4"/>
  <c r="P71" i="4" s="1"/>
  <c r="D76" i="4"/>
  <c r="P76" i="4" s="1"/>
  <c r="K76" i="1"/>
  <c r="M76" i="1" s="1"/>
  <c r="P77" i="17"/>
  <c r="K78" i="1" s="1"/>
  <c r="M78" i="1" s="1"/>
  <c r="P65" i="17"/>
  <c r="K66" i="1"/>
  <c r="M66" i="1" s="1"/>
  <c r="D67" i="4"/>
  <c r="P67" i="4" s="1"/>
  <c r="P76" i="17"/>
  <c r="K77" i="1" s="1"/>
  <c r="M77" i="1" s="1"/>
  <c r="P63" i="4"/>
  <c r="P73" i="17"/>
  <c r="K74" i="1" s="1"/>
  <c r="M74" i="1" s="1"/>
  <c r="P64" i="17"/>
  <c r="K65" i="1"/>
  <c r="M65" i="1" s="1"/>
  <c r="D84" i="17"/>
  <c r="D106" i="17" s="1"/>
  <c r="D109" i="17" s="1"/>
  <c r="P68" i="17"/>
  <c r="D68" i="4"/>
  <c r="P68" i="4" s="1"/>
  <c r="P72" i="17"/>
  <c r="K73" i="1" s="1"/>
  <c r="M73" i="1" s="1"/>
  <c r="D72" i="4"/>
  <c r="P72" i="4" s="1"/>
  <c r="P75" i="17"/>
  <c r="D75" i="4"/>
  <c r="P75" i="4" s="1"/>
  <c r="P67" i="17"/>
  <c r="K68" i="1" s="1"/>
  <c r="M68" i="1" s="1"/>
  <c r="P63" i="17"/>
  <c r="P84" i="17" s="1"/>
  <c r="P106" i="17" s="1"/>
  <c r="P109" i="17" s="1"/>
  <c r="K64" i="1"/>
  <c r="M64" i="1" s="1"/>
  <c r="P84" i="4" l="1"/>
  <c r="P106" i="4" s="1"/>
  <c r="P109" i="4" s="1"/>
  <c r="M113" i="1" s="1"/>
  <c r="M85" i="1"/>
  <c r="M107" i="1" s="1"/>
  <c r="M110" i="1" s="1"/>
  <c r="K85" i="1"/>
  <c r="K107" i="1" s="1"/>
  <c r="K110" i="1" s="1"/>
  <c r="K112" i="1" s="1"/>
  <c r="D84" i="4"/>
  <c r="D106" i="4" s="1"/>
  <c r="D109" i="4" s="1"/>
  <c r="M112" i="1" l="1"/>
  <c r="M114" i="1"/>
</calcChain>
</file>

<file path=xl/sharedStrings.xml><?xml version="1.0" encoding="utf-8"?>
<sst xmlns="http://schemas.openxmlformats.org/spreadsheetml/2006/main" count="3478" uniqueCount="410">
  <si>
    <t>Clare Housing</t>
  </si>
  <si>
    <t>Program Income</t>
  </si>
  <si>
    <t xml:space="preserve">CADI </t>
  </si>
  <si>
    <t>Other Contracted Services Income</t>
  </si>
  <si>
    <t>Room and Board</t>
  </si>
  <si>
    <t>Resident Portion-Cornerstone</t>
  </si>
  <si>
    <t>Total Program Income</t>
  </si>
  <si>
    <t>Government Grants</t>
  </si>
  <si>
    <t>HOPWA</t>
  </si>
  <si>
    <t>MHFA</t>
  </si>
  <si>
    <t>Total Government Grants</t>
  </si>
  <si>
    <t>Contributed Income</t>
  </si>
  <si>
    <t>Individuals</t>
  </si>
  <si>
    <t>Red Ribbon Ride</t>
  </si>
  <si>
    <t>Other Gifts</t>
  </si>
  <si>
    <t>Total Contributions</t>
  </si>
  <si>
    <t>Other</t>
  </si>
  <si>
    <t xml:space="preserve">  </t>
  </si>
  <si>
    <t>Partnership Management Fee</t>
  </si>
  <si>
    <t>Interest Income</t>
  </si>
  <si>
    <t>Other Income</t>
  </si>
  <si>
    <t>Net Assets Released</t>
  </si>
  <si>
    <t>Salaries and Benefits</t>
  </si>
  <si>
    <t>Salaries</t>
  </si>
  <si>
    <t>FICA</t>
  </si>
  <si>
    <t>State Unemployment</t>
  </si>
  <si>
    <t>Health/Dental</t>
  </si>
  <si>
    <t>Disability Insurance</t>
  </si>
  <si>
    <t>Pension</t>
  </si>
  <si>
    <t>Worker's Comp</t>
  </si>
  <si>
    <t>Recognition</t>
  </si>
  <si>
    <t>Total Salaries and Benefits</t>
  </si>
  <si>
    <t>Program Expenses</t>
  </si>
  <si>
    <t>Food</t>
  </si>
  <si>
    <t>Household Supplies</t>
  </si>
  <si>
    <t>Medical Supplies</t>
  </si>
  <si>
    <t>Activities</t>
  </si>
  <si>
    <t>Resident Transportation</t>
  </si>
  <si>
    <t>Substitute Caregivers</t>
  </si>
  <si>
    <t>Other Direct Program</t>
  </si>
  <si>
    <t>Total Program Expenses</t>
  </si>
  <si>
    <t>General And Office Expenses</t>
  </si>
  <si>
    <t>Fundraising and Event Supplies</t>
  </si>
  <si>
    <t>Dues/Subscriptions</t>
  </si>
  <si>
    <t>Office Supplies</t>
  </si>
  <si>
    <t>Meeting Expense</t>
  </si>
  <si>
    <t>Postage/Shipping</t>
  </si>
  <si>
    <t>Advertising</t>
  </si>
  <si>
    <t>Printing and Copying</t>
  </si>
  <si>
    <t>Publications</t>
  </si>
  <si>
    <t>Conferences/Training</t>
  </si>
  <si>
    <t>Public Relations</t>
  </si>
  <si>
    <t>Travel</t>
  </si>
  <si>
    <t>Auto Expense</t>
  </si>
  <si>
    <t>Equipment Rental/Lease</t>
  </si>
  <si>
    <t>HR/Payroll Consultants</t>
  </si>
  <si>
    <t>IT Support</t>
  </si>
  <si>
    <t>Website Services</t>
  </si>
  <si>
    <t>Audit and Accounting</t>
  </si>
  <si>
    <t>Legal Fees</t>
  </si>
  <si>
    <t>Lobbying Fees</t>
  </si>
  <si>
    <t>Other Consulting Fees</t>
  </si>
  <si>
    <t>Licenses and Permits</t>
  </si>
  <si>
    <t>Bank Charges</t>
  </si>
  <si>
    <t>Interest Expense</t>
  </si>
  <si>
    <t>Miscellaneous</t>
  </si>
  <si>
    <t>Total General And Office</t>
  </si>
  <si>
    <t>Facilities Expense</t>
  </si>
  <si>
    <t>Electric</t>
  </si>
  <si>
    <t>Gas</t>
  </si>
  <si>
    <t>Water/Sewer</t>
  </si>
  <si>
    <t>Telephone</t>
  </si>
  <si>
    <t>Cable TV</t>
  </si>
  <si>
    <t>Internet Service</t>
  </si>
  <si>
    <t>Small Equipment</t>
  </si>
  <si>
    <t>Apartment Leases</t>
  </si>
  <si>
    <t>Damage Claims</t>
  </si>
  <si>
    <t>Equipment Repairs</t>
  </si>
  <si>
    <t>Building Repairs</t>
  </si>
  <si>
    <t>Building Maintenance</t>
  </si>
  <si>
    <t>Property/Liability Insurance</t>
  </si>
  <si>
    <t>D&amp;O Liability Insurance</t>
  </si>
  <si>
    <t>Property Taxes/Assessments</t>
  </si>
  <si>
    <t>Depreciation</t>
  </si>
  <si>
    <t>Total Facilities Expense</t>
  </si>
  <si>
    <t>Total Expenses</t>
  </si>
  <si>
    <t>Admin Allocation</t>
  </si>
  <si>
    <t xml:space="preserve">Foster </t>
  </si>
  <si>
    <t>Care</t>
  </si>
  <si>
    <t>Scattered</t>
  </si>
  <si>
    <t>Site</t>
  </si>
  <si>
    <t>Comms</t>
  </si>
  <si>
    <t xml:space="preserve">Fund </t>
  </si>
  <si>
    <t>Raising</t>
  </si>
  <si>
    <t>Project</t>
  </si>
  <si>
    <t>Dev.</t>
  </si>
  <si>
    <t>Institutional</t>
  </si>
  <si>
    <t>Sponsorships</t>
  </si>
  <si>
    <t>Admin</t>
  </si>
  <si>
    <t xml:space="preserve">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</si>
  <si>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</si>
  <si>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</si>
  <si>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</si>
  <si>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</si>
  <si>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</si>
  <si>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</si>
  <si>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</si>
  <si>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</si>
  <si>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</si>
  <si>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</si>
  <si>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</si>
  <si>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</si>
  <si>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Net</t>
  </si>
  <si>
    <t xml:space="preserve">Total </t>
  </si>
  <si>
    <t xml:space="preserve">Annual </t>
  </si>
  <si>
    <t>Daily</t>
  </si>
  <si>
    <t>Apartments</t>
  </si>
  <si>
    <t>Daily Rate</t>
  </si>
  <si>
    <t>Units</t>
  </si>
  <si>
    <t>Expires</t>
  </si>
  <si>
    <t>Revenue</t>
  </si>
  <si>
    <t>Discount</t>
  </si>
  <si>
    <t>Annualized</t>
  </si>
  <si>
    <t>Armstrong</t>
  </si>
  <si>
    <t>AUG 14</t>
  </si>
  <si>
    <t>Balla</t>
  </si>
  <si>
    <t>Batey</t>
  </si>
  <si>
    <t>Boman</t>
  </si>
  <si>
    <t>Flowers</t>
  </si>
  <si>
    <t>Laureano</t>
  </si>
  <si>
    <t>Speak</t>
  </si>
  <si>
    <t>Midtown</t>
  </si>
  <si>
    <t>Abron</t>
  </si>
  <si>
    <t>Al Ghanmiyeen</t>
  </si>
  <si>
    <t>Hunter</t>
  </si>
  <si>
    <t>Lorenz</t>
  </si>
  <si>
    <t>Pioli</t>
  </si>
  <si>
    <t>Robinson</t>
  </si>
  <si>
    <t>Sanders</t>
  </si>
  <si>
    <t>Damiano</t>
  </si>
  <si>
    <t>Operations Director</t>
  </si>
  <si>
    <t>Executive Director</t>
  </si>
  <si>
    <t>Operations Coordinator</t>
  </si>
  <si>
    <t>Foster Care Manager</t>
  </si>
  <si>
    <t>Agape Dos</t>
  </si>
  <si>
    <t>Development</t>
  </si>
  <si>
    <t>Communications</t>
  </si>
  <si>
    <t>Clare Terrace</t>
  </si>
  <si>
    <t xml:space="preserve">May </t>
  </si>
  <si>
    <t>Program</t>
  </si>
  <si>
    <t>Developers Fees</t>
  </si>
  <si>
    <t>Notes</t>
  </si>
  <si>
    <t>NOTES</t>
  </si>
  <si>
    <t>job postings; Other misc ads; sponsorships, ect</t>
  </si>
  <si>
    <t>Misc 1:1 meetings</t>
  </si>
  <si>
    <t>Supportive</t>
  </si>
  <si>
    <t>Housing</t>
  </si>
  <si>
    <t>Admininstration</t>
  </si>
  <si>
    <t>Assisted Living</t>
  </si>
  <si>
    <t>Clare Midtown</t>
  </si>
  <si>
    <t>Foster Care</t>
  </si>
  <si>
    <t>Grace House</t>
  </si>
  <si>
    <t xml:space="preserve">Agape </t>
  </si>
  <si>
    <t>Scattered Site</t>
  </si>
  <si>
    <t>Project Development</t>
  </si>
  <si>
    <t>Custodial</t>
  </si>
  <si>
    <t>Community Outreach Coordinator</t>
  </si>
  <si>
    <t>Department Allocation</t>
  </si>
  <si>
    <t>Supportive Service Manager</t>
  </si>
  <si>
    <t>Staff</t>
  </si>
  <si>
    <t>Clare Apartments</t>
  </si>
  <si>
    <t>Program Allocation</t>
  </si>
  <si>
    <t>Supportive Housing Specialist</t>
  </si>
  <si>
    <t>Other Gifts/Events</t>
  </si>
  <si>
    <t xml:space="preserve">Donor Meetings; Food for JH Tours </t>
  </si>
  <si>
    <t>Misc Supplies</t>
  </si>
  <si>
    <t>Community Meetings; Quorum mtgs (Primarily Chris); Volunteer appreciation events (primarily Debbie)</t>
  </si>
  <si>
    <t>Quorum/Robbinsdale Chamber dues (and other)</t>
  </si>
  <si>
    <t>board mtg food; CP mtgs w/Board members</t>
  </si>
  <si>
    <t>Nurse Practitioner</t>
  </si>
  <si>
    <t>Allocated ED</t>
  </si>
  <si>
    <r>
      <rPr>
        <sz val="11"/>
        <color rgb="FFFF0000"/>
        <rFont val="Calibri"/>
        <family val="2"/>
        <scheme val="minor"/>
      </rPr>
      <t xml:space="preserve">CUT 10.5 </t>
    </r>
    <r>
      <rPr>
        <sz val="11"/>
        <color theme="1"/>
        <rFont val="Calibri"/>
        <family val="2"/>
        <scheme val="minor"/>
      </rPr>
      <t>National AIDS Housing Coalition Membership</t>
    </r>
  </si>
  <si>
    <t>Annual</t>
  </si>
  <si>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3 NAHC Board Mtgs </t>
    </r>
  </si>
  <si>
    <t>Asset Management Consultant Janet Pope ($15K)</t>
  </si>
  <si>
    <t>Total Income</t>
  </si>
  <si>
    <t>TOTAL</t>
  </si>
  <si>
    <t xml:space="preserve">Net Operating </t>
  </si>
  <si>
    <t>Net  Income/Loss</t>
  </si>
  <si>
    <t>HQS</t>
  </si>
  <si>
    <t>GRH servoce</t>
  </si>
  <si>
    <t>GRH total</t>
  </si>
  <si>
    <t>GRH Svc</t>
  </si>
  <si>
    <t>Traininig</t>
  </si>
  <si>
    <t>Training</t>
  </si>
  <si>
    <t>Annual Report; other event annoucements; i.e. Bloom Lake promotion</t>
  </si>
  <si>
    <t>Annual Report; New brochures; Letter head; envelopes; promotional materials</t>
  </si>
  <si>
    <t>Communications Consultant Fee (Cary and I to discuss PL)</t>
  </si>
  <si>
    <t>Luncheon postcard, and other event print materials EOY Appeal (Mail merge letter)</t>
  </si>
  <si>
    <t>Luncheon postcard; EOY Appeal; Bloom Lake promotion</t>
  </si>
  <si>
    <t>Local conferences/trainings for Debbie/Chris</t>
  </si>
  <si>
    <t>Raisers Edge Annual Fee (Aug. quote)</t>
  </si>
  <si>
    <t xml:space="preserve">Faith Based </t>
  </si>
  <si>
    <t>Luncheon Logistic Expenses (space; food; sound, ect); two small donor events (Art in Gratitude and one cultivation/recognition) ** will have a better number on Luncheon costs for 2020 once 2019 is complete</t>
  </si>
  <si>
    <t>GRH Service</t>
  </si>
  <si>
    <t>GRH Admin Fee</t>
  </si>
  <si>
    <t>Other Progrram Service Revenue</t>
  </si>
  <si>
    <t>Resident Portion-Scattered Site</t>
  </si>
  <si>
    <t>&lt;----Allan says go with this</t>
  </si>
  <si>
    <t>How Come We paid BlackBaud Twice This Yeat?</t>
  </si>
  <si>
    <t>Other Program Service Revenue</t>
  </si>
  <si>
    <t>Front Desk</t>
  </si>
  <si>
    <t>Service Staff</t>
  </si>
  <si>
    <t>Total to Clare</t>
  </si>
  <si>
    <t>Monthly</t>
  </si>
  <si>
    <t>Total Grant</t>
  </si>
  <si>
    <t>Less Clare</t>
  </si>
  <si>
    <t>To LP</t>
  </si>
  <si>
    <t>HOPWA CALC</t>
  </si>
  <si>
    <t>DHS</t>
  </si>
  <si>
    <t>X</t>
  </si>
  <si>
    <t>*</t>
  </si>
  <si>
    <t>Budget by Program FY 2020</t>
  </si>
  <si>
    <t>Annual Facility Licensing Fee</t>
  </si>
  <si>
    <t>DHS + Facility Fee</t>
  </si>
  <si>
    <t>(Project Undetectable)</t>
  </si>
  <si>
    <t>HWS Fee ($155)</t>
  </si>
  <si>
    <t>May 20</t>
  </si>
  <si>
    <t>Babcock</t>
  </si>
  <si>
    <t>Nov19</t>
  </si>
  <si>
    <t>Jun20</t>
  </si>
  <si>
    <t>Aug19</t>
  </si>
  <si>
    <t>Feb20</t>
  </si>
  <si>
    <t>Apr20</t>
  </si>
  <si>
    <t>Cook</t>
  </si>
  <si>
    <t>OCt19</t>
  </si>
  <si>
    <t>Oct19</t>
  </si>
  <si>
    <t>Sept19</t>
  </si>
  <si>
    <t>Nolte</t>
  </si>
  <si>
    <t>Nuur</t>
  </si>
  <si>
    <t>Revies</t>
  </si>
  <si>
    <t>Jan20</t>
  </si>
  <si>
    <t>Russell</t>
  </si>
  <si>
    <t>Mar20</t>
  </si>
  <si>
    <t>Twhite</t>
  </si>
  <si>
    <t>Brooks</t>
  </si>
  <si>
    <t>May20</t>
  </si>
  <si>
    <t>Decourcy</t>
  </si>
  <si>
    <t>Jensen</t>
  </si>
  <si>
    <t>McCrary</t>
  </si>
  <si>
    <t>Olin</t>
  </si>
  <si>
    <t>August19</t>
  </si>
  <si>
    <t>Pisel</t>
  </si>
  <si>
    <t>DEc19</t>
  </si>
  <si>
    <t>Schmid</t>
  </si>
  <si>
    <t>Jul20</t>
  </si>
  <si>
    <t>FC-1.5% increase assumed for now</t>
  </si>
  <si>
    <t>(Includes Food for activities</t>
  </si>
  <si>
    <t>Substitute RA's</t>
  </si>
  <si>
    <t>hmis, HWS</t>
  </si>
  <si>
    <t>What's this Allan? MB</t>
  </si>
  <si>
    <t>(Educare, CPR, AED)</t>
  </si>
  <si>
    <t>Low Cooks</t>
  </si>
  <si>
    <t>Sept 2020</t>
  </si>
  <si>
    <t>2019 Budget</t>
  </si>
  <si>
    <t>Balick</t>
  </si>
  <si>
    <t>Costco</t>
  </si>
  <si>
    <t>Strib</t>
  </si>
  <si>
    <t>MN C Homeless</t>
  </si>
  <si>
    <t>MN Council NP</t>
  </si>
  <si>
    <t>Metro Comm Dev</t>
  </si>
  <si>
    <t>Misc</t>
  </si>
  <si>
    <t>Agape Home Budget Projection</t>
  </si>
  <si>
    <t>Estimated Sales Price</t>
  </si>
  <si>
    <t>Less:</t>
  </si>
  <si>
    <t>Commision</t>
  </si>
  <si>
    <t>Misc Fees</t>
  </si>
  <si>
    <t>Net Proceeds</t>
  </si>
  <si>
    <t>Basis</t>
  </si>
  <si>
    <t>Cost</t>
  </si>
  <si>
    <t>Depr 12-31-19</t>
  </si>
  <si>
    <t>Land</t>
  </si>
  <si>
    <t>Building</t>
  </si>
  <si>
    <t>BldgImp</t>
  </si>
  <si>
    <t>Equipment</t>
  </si>
  <si>
    <t>Projected Capital gain</t>
  </si>
  <si>
    <t>NEW #1</t>
  </si>
  <si>
    <t>MPLS HOPWA</t>
  </si>
  <si>
    <t>Clare Marshall Flats</t>
  </si>
  <si>
    <t>Auth Start Date</t>
  </si>
  <si>
    <t>Current Rate</t>
  </si>
  <si>
    <t>Add Overnight</t>
  </si>
  <si>
    <t>Nursing Component</t>
  </si>
  <si>
    <t>DHS Approval?</t>
  </si>
  <si>
    <t>Nurse +</t>
  </si>
  <si>
    <t>Best Rate</t>
  </si>
  <si>
    <t xml:space="preserve">January </t>
  </si>
  <si>
    <t>Patrick Bird</t>
  </si>
  <si>
    <t>Simon Green</t>
  </si>
  <si>
    <t>Mark Peller</t>
  </si>
  <si>
    <t>Tyrone Thomas</t>
  </si>
  <si>
    <t>Anita Eason</t>
  </si>
  <si>
    <t>David Hanford</t>
  </si>
  <si>
    <t>Troy MacMurray</t>
  </si>
  <si>
    <t>Shirley Harris</t>
  </si>
  <si>
    <t>Becky  Ball</t>
  </si>
  <si>
    <t>Jeavette Blayock</t>
  </si>
  <si>
    <t>Craig Ellis</t>
  </si>
  <si>
    <t>Narcisso Equivalent</t>
  </si>
  <si>
    <t>Clre Hosusing 2020 Health Insurance calculation</t>
  </si>
  <si>
    <t>% Pr</t>
  </si>
  <si>
    <t>Number of Employeese</t>
  </si>
  <si>
    <t>Current cost/employee /month</t>
  </si>
  <si>
    <t>Monthly Cost</t>
  </si>
  <si>
    <t>Increase %</t>
  </si>
  <si>
    <t>Estimated for 2019</t>
  </si>
  <si>
    <t>Dental</t>
  </si>
  <si>
    <t>Health Insurance</t>
  </si>
  <si>
    <t>9/30/19</t>
  </si>
  <si>
    <t>% of payroll</t>
  </si>
  <si>
    <t xml:space="preserve">Worker's Comp </t>
  </si>
  <si>
    <t>Total payroll</t>
  </si>
  <si>
    <t>1% incease</t>
  </si>
  <si>
    <t>2% Increase</t>
  </si>
  <si>
    <t>3% increase</t>
  </si>
  <si>
    <t>add DOMH</t>
  </si>
  <si>
    <t>salary</t>
  </si>
  <si>
    <t>Health Ins</t>
  </si>
  <si>
    <t>Disability</t>
  </si>
  <si>
    <t>wc</t>
  </si>
  <si>
    <t>D. Johnson</t>
  </si>
  <si>
    <t>New</t>
  </si>
  <si>
    <t>Ogletree</t>
  </si>
  <si>
    <t>E. White</t>
  </si>
  <si>
    <t>Brainard</t>
  </si>
  <si>
    <t>Community Events</t>
  </si>
  <si>
    <t>Health Insurace</t>
  </si>
  <si>
    <t>SUTA</t>
  </si>
  <si>
    <t>LTD</t>
  </si>
  <si>
    <t>WC</t>
  </si>
  <si>
    <t>(includes 2 HR OT)</t>
  </si>
  <si>
    <t>Community Outreach Director</t>
  </si>
  <si>
    <t>DON.CCH</t>
  </si>
  <si>
    <t>DSH</t>
  </si>
  <si>
    <t>allocated from Community engagement $2178.22 I/0)</t>
  </si>
  <si>
    <t>toal to be allocated</t>
  </si>
  <si>
    <t>per programs</t>
  </si>
  <si>
    <t>Program Directors</t>
  </si>
  <si>
    <t>Director of Nursing</t>
  </si>
  <si>
    <t>Program allocation</t>
  </si>
  <si>
    <t>HSS</t>
  </si>
  <si>
    <t>Total Salary</t>
  </si>
  <si>
    <t>Hourly</t>
  </si>
  <si>
    <t>Total</t>
  </si>
  <si>
    <t xml:space="preserve">  </t>
  </si>
  <si>
    <t>FC Allocation</t>
  </si>
  <si>
    <t>SPM Allocation</t>
  </si>
  <si>
    <t>DSS Allocation</t>
  </si>
  <si>
    <t>Program Assistant</t>
  </si>
  <si>
    <t>Dept Totals</t>
  </si>
  <si>
    <t>Apts</t>
  </si>
  <si>
    <t>MT</t>
  </si>
  <si>
    <t>Flats</t>
  </si>
  <si>
    <t>Terrace</t>
  </si>
  <si>
    <t>D</t>
  </si>
  <si>
    <t>G</t>
  </si>
  <si>
    <t>A1</t>
  </si>
  <si>
    <t>A2</t>
  </si>
  <si>
    <t>SSHM</t>
  </si>
  <si>
    <t>SSM</t>
  </si>
  <si>
    <t>PD</t>
  </si>
  <si>
    <t>Salary</t>
  </si>
  <si>
    <t>403(b)</t>
  </si>
  <si>
    <t>LTD/STD/LI</t>
  </si>
  <si>
    <t>Health Ons</t>
  </si>
  <si>
    <t>Work Comp</t>
  </si>
  <si>
    <t>Total Benefits</t>
  </si>
  <si>
    <t>Benefits %</t>
  </si>
  <si>
    <t>Total Reim</t>
  </si>
  <si>
    <t>SSA</t>
  </si>
  <si>
    <t>Mulu</t>
  </si>
  <si>
    <t>HSAcontribution (35)</t>
  </si>
  <si>
    <t>Current Budget</t>
  </si>
  <si>
    <t>Proposed HP</t>
  </si>
  <si>
    <t>BCBS Option</t>
  </si>
  <si>
    <t xml:space="preserve">Current Premium Per Individual </t>
  </si>
  <si>
    <t>Clare Portion</t>
  </si>
  <si>
    <t>Estimated Increase %</t>
  </si>
  <si>
    <t>Estimated Monthly  Cost  for 2019</t>
  </si>
  <si>
    <t>Savings</t>
  </si>
  <si>
    <t>Original Grant</t>
  </si>
  <si>
    <t xml:space="preserve">remaining </t>
  </si>
  <si>
    <t>Draw for Oct</t>
  </si>
  <si>
    <t>Remaining</t>
  </si>
  <si>
    <t>Services</t>
  </si>
  <si>
    <t>Facilities</t>
  </si>
  <si>
    <t>Amount remaining</t>
  </si>
  <si>
    <t>As per grant</t>
  </si>
  <si>
    <t>Less $14K/month/6 mos</t>
  </si>
  <si>
    <t>Remainder to Clare</t>
  </si>
  <si>
    <t>Add</t>
  </si>
  <si>
    <t>Hassan/Jense</t>
  </si>
  <si>
    <t>Budget Amount Jan-June</t>
  </si>
  <si>
    <t>Add Lan/Sanders  7-1</t>
  </si>
  <si>
    <t>Budget July-Dec</t>
  </si>
  <si>
    <t xml:space="preserve">Total Budget </t>
  </si>
  <si>
    <t>Difference</t>
  </si>
  <si>
    <t>#15</t>
  </si>
  <si>
    <t>new..</t>
  </si>
  <si>
    <t>Religious 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</si>
</sst>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m/d/yy;@"/>
    <numFmt numFmtId="165" formatCode="###0.0%;\(###0.0%\)"/>
    <numFmt numFmtId="166" formatCode="&quot;$&quot;#,##0;\(&quot;$&quot;#,##0\)"/>
    <numFmt numFmtId="167" formatCode="#,##0;\(#,##0\)"/>
    <numFmt numFmtId="168" formatCode="#,##0.0000"/>
    <numFmt numFmtId="169" formatCode="mm/dd/yy;@"/>
    <numFmt numFmtId="170" formatCode="#,##0.00000"/>
    <numFmt numFmtId="171" formatCode="0.0000"/>
    <numFmt numFmtId="172" formatCode="0.000%"/>
    <numFmt numFmtId="173" formatCode="0.000000%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0"/>
      <name val="Arial"/>
      <family val="2"/>
    </font>
    <font>
      <b/>
      <i/>
      <sz val="12"/>
      <color indexed="4"/>
      <name val="Arial"/>
      <family val="2"/>
    </font>
    <font>
      <b/>
      <i/>
      <sz val="12"/>
      <color indexed="0"/>
      <name val="Arial"/>
      <family val="2"/>
    </font>
    <font>
      <i/>
      <sz val="11"/>
      <color indexed="0"/>
      <name val="Arial"/>
      <family val="2"/>
    </font>
    <font>
      <b/>
      <i/>
      <sz val="11"/>
      <color indexed="0"/>
      <name val="Arial"/>
      <family val="2"/>
    </font>
    <font>
      <b/>
      <sz val="10"/>
      <color indexed="0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1BA0"/>
      <name val="Arial"/>
      <family val="2"/>
    </font>
    <font>
      <u val="double"/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5" fillId="0" borderId="0"/>
    <xf numFmtId="165" fontId="3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4" applyNumberFormat="0" applyAlignment="0" applyProtection="0"/>
    <xf numFmtId="0" fontId="17" fillId="21" borderId="5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4" applyNumberFormat="0" applyAlignment="0" applyProtection="0"/>
    <xf numFmtId="0" fontId="24" fillId="0" borderId="9" applyNumberFormat="0" applyFill="0" applyAlignment="0" applyProtection="0"/>
    <xf numFmtId="0" fontId="25" fillId="22" borderId="0" applyNumberFormat="0" applyBorder="0" applyAlignment="0" applyProtection="0"/>
    <xf numFmtId="0" fontId="5" fillId="23" borderId="10" applyNumberFormat="0" applyFont="0" applyAlignment="0" applyProtection="0"/>
    <xf numFmtId="0" fontId="5" fillId="23" borderId="10" applyNumberFormat="0" applyFont="0" applyAlignment="0" applyProtection="0"/>
    <xf numFmtId="0" fontId="26" fillId="20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2" fillId="0" borderId="0"/>
    <xf numFmtId="0" fontId="5" fillId="0" borderId="0"/>
    <xf numFmtId="0" fontId="5" fillId="23" borderId="10" applyNumberFormat="0" applyFont="0" applyAlignment="0" applyProtection="0"/>
    <xf numFmtId="0" fontId="31" fillId="0" borderId="0"/>
    <xf numFmtId="166" fontId="30" fillId="0" borderId="0"/>
    <xf numFmtId="167" fontId="30" fillId="0" borderId="0"/>
    <xf numFmtId="0" fontId="32" fillId="0" borderId="0"/>
    <xf numFmtId="0" fontId="30" fillId="0" borderId="0"/>
    <xf numFmtId="0" fontId="35" fillId="0" borderId="0"/>
    <xf numFmtId="0" fontId="33" fillId="0" borderId="0"/>
    <xf numFmtId="0" fontId="30" fillId="0" borderId="0"/>
    <xf numFmtId="0" fontId="34" fillId="0" borderId="0"/>
    <xf numFmtId="0" fontId="36" fillId="0" borderId="0" applyAlignment="0"/>
  </cellStyleXfs>
  <cellXfs count="19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0" xfId="0" applyFill="1" applyBorder="1"/>
    <xf numFmtId="3" fontId="4" fillId="0" borderId="0" xfId="0" applyNumberFormat="1" applyFont="1" applyAlignment="1">
      <alignment horizontal="center"/>
    </xf>
    <xf numFmtId="0" fontId="0" fillId="0" borderId="0" xfId="0"/>
    <xf numFmtId="0" fontId="5" fillId="0" borderId="0" xfId="1"/>
    <xf numFmtId="0" fontId="7" fillId="0" borderId="0" xfId="1" applyFont="1"/>
    <xf numFmtId="0" fontId="6" fillId="0" borderId="0" xfId="1" applyFont="1"/>
    <xf numFmtId="0" fontId="6" fillId="0" borderId="0" xfId="1" applyFont="1" applyAlignment="1"/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4" fontId="0" fillId="0" borderId="0" xfId="0" applyNumberFormat="1"/>
    <xf numFmtId="3" fontId="3" fillId="0" borderId="0" xfId="0" applyNumberFormat="1" applyFont="1" applyAlignment="1">
      <alignment horizontal="center"/>
    </xf>
    <xf numFmtId="0" fontId="0" fillId="0" borderId="0" xfId="0"/>
    <xf numFmtId="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 applyAlignment="1">
      <alignment vertical="center"/>
    </xf>
    <xf numFmtId="3" fontId="0" fillId="0" borderId="1" xfId="0" applyNumberFormat="1" applyBorder="1"/>
    <xf numFmtId="3" fontId="0" fillId="0" borderId="0" xfId="0" applyNumberFormat="1" applyFill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0" fontId="5" fillId="0" borderId="0" xfId="1" applyFont="1"/>
    <xf numFmtId="9" fontId="0" fillId="0" borderId="0" xfId="0" applyNumberFormat="1"/>
    <xf numFmtId="3" fontId="11" fillId="0" borderId="0" xfId="0" applyNumberFormat="1" applyFont="1"/>
    <xf numFmtId="3" fontId="0" fillId="0" borderId="0" xfId="0" applyNumberFormat="1" applyFill="1"/>
    <xf numFmtId="0" fontId="0" fillId="0" borderId="0" xfId="0"/>
    <xf numFmtId="3" fontId="0" fillId="0" borderId="0" xfId="0" applyNumberFormat="1"/>
    <xf numFmtId="3" fontId="8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8" fillId="0" borderId="0" xfId="0" applyNumberFormat="1" applyFont="1" applyFill="1" applyBorder="1"/>
    <xf numFmtId="3" fontId="0" fillId="0" borderId="0" xfId="0" applyNumberFormat="1" applyAlignment="1">
      <alignment wrapText="1"/>
    </xf>
    <xf numFmtId="0" fontId="2" fillId="0" borderId="0" xfId="0" applyFont="1"/>
    <xf numFmtId="3" fontId="0" fillId="0" borderId="0" xfId="0" applyNumberFormat="1" applyFill="1" applyAlignment="1">
      <alignment wrapText="1"/>
    </xf>
    <xf numFmtId="3" fontId="3" fillId="0" borderId="0" xfId="0" applyNumberFormat="1" applyFont="1" applyAlignment="1">
      <alignment horizontal="center"/>
    </xf>
    <xf numFmtId="3" fontId="11" fillId="0" borderId="1" xfId="0" applyNumberFormat="1" applyFont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4" fontId="0" fillId="0" borderId="2" xfId="0" applyNumberFormat="1" applyBorder="1"/>
    <xf numFmtId="4" fontId="0" fillId="0" borderId="3" xfId="0" applyNumberFormat="1" applyBorder="1"/>
    <xf numFmtId="0" fontId="8" fillId="0" borderId="0" xfId="0" applyFont="1"/>
    <xf numFmtId="0" fontId="0" fillId="0" borderId="0" xfId="0" applyFont="1"/>
    <xf numFmtId="3" fontId="10" fillId="0" borderId="0" xfId="0" applyNumberFormat="1" applyFont="1" applyFill="1" applyAlignment="1">
      <alignment wrapText="1"/>
    </xf>
    <xf numFmtId="168" fontId="0" fillId="0" borderId="0" xfId="0" applyNumberFormat="1"/>
    <xf numFmtId="3" fontId="37" fillId="0" borderId="0" xfId="0" applyNumberFormat="1" applyFont="1"/>
    <xf numFmtId="3" fontId="37" fillId="0" borderId="0" xfId="0" applyNumberFormat="1" applyFont="1" applyAlignment="1">
      <alignment vertical="center"/>
    </xf>
    <xf numFmtId="3" fontId="0" fillId="0" borderId="0" xfId="0" applyNumberFormat="1" applyFont="1"/>
    <xf numFmtId="3" fontId="0" fillId="0" borderId="0" xfId="0" applyNumberFormat="1" applyFont="1" applyFill="1"/>
    <xf numFmtId="10" fontId="0" fillId="0" borderId="0" xfId="0" applyNumberFormat="1" applyFont="1" applyFill="1" applyBorder="1"/>
    <xf numFmtId="3" fontId="0" fillId="0" borderId="0" xfId="0" applyNumberFormat="1" applyFont="1" applyBorder="1"/>
    <xf numFmtId="3" fontId="38" fillId="0" borderId="0" xfId="0" applyNumberFormat="1" applyFont="1"/>
    <xf numFmtId="3" fontId="8" fillId="0" borderId="14" xfId="0" applyNumberFormat="1" applyFont="1" applyBorder="1"/>
    <xf numFmtId="3" fontId="8" fillId="0" borderId="0" xfId="0" applyNumberFormat="1" applyFont="1" applyBorder="1"/>
    <xf numFmtId="10" fontId="8" fillId="0" borderId="0" xfId="0" applyNumberFormat="1" applyFont="1" applyFill="1" applyBorder="1"/>
    <xf numFmtId="3" fontId="8" fillId="0" borderId="1" xfId="0" applyNumberFormat="1" applyFont="1" applyBorder="1"/>
    <xf numFmtId="3" fontId="38" fillId="0" borderId="0" xfId="0" applyNumberFormat="1" applyFont="1" applyAlignment="1">
      <alignment vertical="center"/>
    </xf>
    <xf numFmtId="3" fontId="8" fillId="0" borderId="15" xfId="0" applyNumberFormat="1" applyFont="1" applyBorder="1"/>
    <xf numFmtId="3" fontId="39" fillId="0" borderId="0" xfId="0" applyNumberFormat="1" applyFont="1"/>
    <xf numFmtId="3" fontId="39" fillId="0" borderId="14" xfId="0" applyNumberFormat="1" applyFont="1" applyBorder="1"/>
    <xf numFmtId="3" fontId="39" fillId="0" borderId="0" xfId="0" applyNumberFormat="1" applyFont="1" applyBorder="1"/>
    <xf numFmtId="0" fontId="39" fillId="0" borderId="0" xfId="0" applyFont="1"/>
    <xf numFmtId="3" fontId="40" fillId="0" borderId="0" xfId="0" applyNumberFormat="1" applyFont="1"/>
    <xf numFmtId="3" fontId="40" fillId="0" borderId="14" xfId="0" applyNumberFormat="1" applyFont="1" applyBorder="1"/>
    <xf numFmtId="3" fontId="39" fillId="0" borderId="15" xfId="0" applyNumberFormat="1" applyFont="1" applyBorder="1"/>
    <xf numFmtId="3" fontId="0" fillId="24" borderId="0" xfId="0" applyNumberFormat="1" applyFill="1"/>
    <xf numFmtId="0" fontId="0" fillId="24" borderId="0" xfId="0" applyFill="1"/>
    <xf numFmtId="0" fontId="2" fillId="0" borderId="0" xfId="0" applyFont="1" applyAlignment="1">
      <alignment vertical="center"/>
    </xf>
    <xf numFmtId="3" fontId="11" fillId="0" borderId="0" xfId="0" applyNumberFormat="1" applyFont="1" applyFill="1"/>
    <xf numFmtId="3" fontId="2" fillId="0" borderId="0" xfId="0" applyNumberFormat="1" applyFont="1" applyAlignment="1">
      <alignment vertical="center"/>
    </xf>
    <xf numFmtId="3" fontId="37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0" fillId="25" borderId="0" xfId="0" applyNumberFormat="1" applyFill="1" applyAlignment="1">
      <alignment wrapText="1"/>
    </xf>
    <xf numFmtId="3" fontId="0" fillId="24" borderId="0" xfId="0" applyNumberFormat="1" applyFill="1" applyAlignment="1">
      <alignment wrapText="1"/>
    </xf>
    <xf numFmtId="0" fontId="0" fillId="0" borderId="0" xfId="0" applyBorder="1"/>
    <xf numFmtId="0" fontId="0" fillId="26" borderId="16" xfId="0" applyFill="1" applyBorder="1"/>
    <xf numFmtId="0" fontId="0" fillId="0" borderId="17" xfId="0" applyBorder="1"/>
    <xf numFmtId="0" fontId="0" fillId="0" borderId="18" xfId="0" applyBorder="1"/>
    <xf numFmtId="3" fontId="0" fillId="0" borderId="19" xfId="0" applyNumberFormat="1" applyBorder="1"/>
    <xf numFmtId="0" fontId="0" fillId="0" borderId="20" xfId="0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26" borderId="24" xfId="0" applyFill="1" applyBorder="1"/>
    <xf numFmtId="3" fontId="0" fillId="26" borderId="25" xfId="0" applyNumberFormat="1" applyFill="1" applyBorder="1"/>
    <xf numFmtId="0" fontId="41" fillId="0" borderId="0" xfId="0" applyFont="1"/>
    <xf numFmtId="0" fontId="5" fillId="0" borderId="0" xfId="1" applyFont="1" applyFill="1"/>
    <xf numFmtId="0" fontId="5" fillId="0" borderId="0" xfId="1" applyFill="1"/>
    <xf numFmtId="3" fontId="0" fillId="0" borderId="0" xfId="0" applyNumberFormat="1" applyAlignment="1">
      <alignment horizontal="right" wrapText="1"/>
    </xf>
    <xf numFmtId="3" fontId="0" fillId="0" borderId="26" xfId="0" applyNumberFormat="1" applyBorder="1" applyAlignment="1">
      <alignment horizontal="right" wrapText="1"/>
    </xf>
    <xf numFmtId="3" fontId="0" fillId="27" borderId="0" xfId="0" applyNumberFormat="1" applyFill="1"/>
    <xf numFmtId="0" fontId="0" fillId="27" borderId="0" xfId="0" applyFill="1"/>
    <xf numFmtId="3" fontId="2" fillId="27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2" fontId="0" fillId="0" borderId="0" xfId="0" applyNumberFormat="1" applyFont="1" applyFill="1"/>
    <xf numFmtId="3" fontId="0" fillId="0" borderId="13" xfId="0" applyNumberFormat="1" applyBorder="1"/>
    <xf numFmtId="3" fontId="0" fillId="0" borderId="13" xfId="0" applyNumberFormat="1" applyFont="1" applyBorder="1"/>
    <xf numFmtId="3" fontId="0" fillId="0" borderId="27" xfId="0" applyNumberFormat="1" applyBorder="1"/>
    <xf numFmtId="3" fontId="0" fillId="0" borderId="14" xfId="0" applyNumberFormat="1" applyBorder="1"/>
    <xf numFmtId="0" fontId="0" fillId="0" borderId="0" xfId="0" applyAlignment="1">
      <alignment horizontal="right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6" fillId="0" borderId="0" xfId="1" applyFont="1" applyFill="1"/>
    <xf numFmtId="0" fontId="0" fillId="0" borderId="0" xfId="0" applyFill="1" applyAlignment="1">
      <alignment vertical="top"/>
    </xf>
    <xf numFmtId="0" fontId="0" fillId="0" borderId="13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9" fontId="0" fillId="0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2" fontId="0" fillId="0" borderId="28" xfId="0" applyNumberFormat="1" applyBorder="1" applyAlignment="1">
      <alignment vertical="top"/>
    </xf>
    <xf numFmtId="1" fontId="0" fillId="0" borderId="28" xfId="0" applyNumberFormat="1" applyBorder="1" applyAlignment="1">
      <alignment vertical="top"/>
    </xf>
    <xf numFmtId="0" fontId="0" fillId="0" borderId="0" xfId="0" applyAlignment="1">
      <alignment vertical="top"/>
    </xf>
    <xf numFmtId="10" fontId="0" fillId="0" borderId="0" xfId="0" applyNumberFormat="1"/>
    <xf numFmtId="4" fontId="0" fillId="0" borderId="0" xfId="0" applyNumberFormat="1" applyFill="1"/>
    <xf numFmtId="0" fontId="0" fillId="0" borderId="0" xfId="0" applyAlignment="1">
      <alignment horizontal="right" wrapText="1"/>
    </xf>
    <xf numFmtId="0" fontId="0" fillId="0" borderId="26" xfId="0" applyBorder="1" applyAlignment="1">
      <alignment horizontal="right" wrapText="1"/>
    </xf>
    <xf numFmtId="3" fontId="0" fillId="0" borderId="29" xfId="0" applyNumberFormat="1" applyBorder="1" applyAlignment="1">
      <alignment horizontal="right" wrapText="1"/>
    </xf>
    <xf numFmtId="3" fontId="0" fillId="0" borderId="0" xfId="0" quotePrefix="1" applyNumberFormat="1"/>
    <xf numFmtId="170" fontId="0" fillId="0" borderId="0" xfId="0" applyNumberFormat="1"/>
    <xf numFmtId="2" fontId="0" fillId="0" borderId="0" xfId="0" applyNumberFormat="1"/>
    <xf numFmtId="1" fontId="0" fillId="0" borderId="0" xfId="0" applyNumberFormat="1" applyFill="1" applyAlignment="1">
      <alignment horizontal="center"/>
    </xf>
    <xf numFmtId="3" fontId="0" fillId="26" borderId="0" xfId="0" applyNumberFormat="1" applyFill="1"/>
    <xf numFmtId="0" fontId="8" fillId="0" borderId="0" xfId="0" applyFont="1" applyFill="1"/>
    <xf numFmtId="3" fontId="0" fillId="0" borderId="1" xfId="0" applyNumberFormat="1" applyFill="1" applyBorder="1"/>
    <xf numFmtId="3" fontId="3" fillId="0" borderId="0" xfId="0" applyNumberFormat="1" applyFont="1" applyFill="1"/>
    <xf numFmtId="3" fontId="8" fillId="0" borderId="0" xfId="0" applyNumberFormat="1" applyFont="1" applyFill="1"/>
    <xf numFmtId="0" fontId="0" fillId="0" borderId="0" xfId="0" applyFont="1" applyFill="1"/>
    <xf numFmtId="4" fontId="0" fillId="0" borderId="0" xfId="0" applyNumberFormat="1" applyFont="1" applyFill="1"/>
    <xf numFmtId="4" fontId="8" fillId="0" borderId="0" xfId="0" applyNumberFormat="1" applyFont="1" applyFill="1"/>
    <xf numFmtId="4" fontId="0" fillId="28" borderId="0" xfId="0" applyNumberFormat="1" applyFill="1"/>
    <xf numFmtId="3" fontId="0" fillId="28" borderId="0" xfId="0" applyNumberFormat="1" applyFill="1"/>
    <xf numFmtId="3" fontId="0" fillId="0" borderId="0" xfId="0" applyNumberFormat="1" applyFont="1" applyFill="1" applyBorder="1"/>
    <xf numFmtId="3" fontId="8" fillId="0" borderId="1" xfId="0" applyNumberFormat="1" applyFont="1" applyFill="1" applyBorder="1"/>
    <xf numFmtId="168" fontId="0" fillId="0" borderId="0" xfId="0" applyNumberFormat="1" applyFill="1"/>
    <xf numFmtId="3" fontId="9" fillId="0" borderId="0" xfId="0" applyNumberFormat="1" applyFont="1" applyFill="1"/>
    <xf numFmtId="2" fontId="0" fillId="0" borderId="0" xfId="0" applyNumberFormat="1" applyFill="1"/>
    <xf numFmtId="171" fontId="0" fillId="0" borderId="0" xfId="0" applyNumberFormat="1"/>
    <xf numFmtId="0" fontId="0" fillId="0" borderId="0" xfId="0" applyFill="1" applyProtection="1">
      <protection locked="0"/>
    </xf>
    <xf numFmtId="172" fontId="0" fillId="0" borderId="0" xfId="0" applyNumberFormat="1"/>
    <xf numFmtId="4" fontId="9" fillId="0" borderId="0" xfId="0" applyNumberFormat="1" applyFont="1"/>
    <xf numFmtId="0" fontId="9" fillId="0" borderId="0" xfId="0" applyFont="1"/>
    <xf numFmtId="4" fontId="0" fillId="0" borderId="1" xfId="0" applyNumberFormat="1" applyFont="1" applyBorder="1"/>
    <xf numFmtId="4" fontId="0" fillId="0" borderId="28" xfId="0" applyNumberFormat="1" applyBorder="1"/>
    <xf numFmtId="4" fontId="9" fillId="0" borderId="0" xfId="0" applyNumberFormat="1" applyFont="1" applyBorder="1"/>
    <xf numFmtId="168" fontId="0" fillId="0" borderId="0" xfId="0" applyNumberFormat="1" applyFont="1"/>
    <xf numFmtId="3" fontId="37" fillId="0" borderId="0" xfId="0" applyNumberFormat="1" applyFont="1" applyAlignment="1">
      <alignment vertical="center"/>
    </xf>
    <xf numFmtId="0" fontId="0" fillId="0" borderId="13" xfId="0" applyBorder="1"/>
    <xf numFmtId="3" fontId="0" fillId="0" borderId="16" xfId="0" applyNumberFormat="1" applyBorder="1"/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1" xfId="0" applyBorder="1"/>
    <xf numFmtId="3" fontId="0" fillId="0" borderId="0" xfId="0" applyNumberFormat="1" applyBorder="1"/>
    <xf numFmtId="3" fontId="0" fillId="0" borderId="30" xfId="0" applyNumberFormat="1" applyBorder="1"/>
    <xf numFmtId="3" fontId="42" fillId="0" borderId="0" xfId="0" applyNumberFormat="1" applyFont="1" applyBorder="1"/>
    <xf numFmtId="3" fontId="42" fillId="0" borderId="21" xfId="0" applyNumberFormat="1" applyFont="1" applyBorder="1"/>
    <xf numFmtId="1" fontId="0" fillId="0" borderId="24" xfId="0" applyNumberFormat="1" applyBorder="1"/>
    <xf numFmtId="1" fontId="0" fillId="0" borderId="16" xfId="0" applyNumberFormat="1" applyBorder="1"/>
    <xf numFmtId="1" fontId="0" fillId="0" borderId="25" xfId="0" applyNumberFormat="1" applyBorder="1"/>
    <xf numFmtId="3" fontId="0" fillId="0" borderId="25" xfId="0" applyNumberFormat="1" applyBorder="1"/>
    <xf numFmtId="0" fontId="8" fillId="0" borderId="24" xfId="0" applyFont="1" applyBorder="1"/>
    <xf numFmtId="0" fontId="8" fillId="0" borderId="16" xfId="0" applyFont="1" applyBorder="1"/>
    <xf numFmtId="3" fontId="8" fillId="0" borderId="31" xfId="0" applyNumberFormat="1" applyFont="1" applyBorder="1"/>
    <xf numFmtId="4" fontId="8" fillId="0" borderId="30" xfId="0" applyNumberFormat="1" applyFont="1" applyBorder="1"/>
    <xf numFmtId="3" fontId="37" fillId="0" borderId="0" xfId="0" applyNumberFormat="1" applyFont="1" applyAlignment="1">
      <alignment vertical="center"/>
    </xf>
    <xf numFmtId="3" fontId="38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173" fontId="0" fillId="0" borderId="0" xfId="0" applyNumberFormat="1"/>
  </cellXfs>
  <cellStyles count="5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FRxAmtStyle" xfId="50"/>
    <cellStyle name="FRxCurrStyle" xfId="49"/>
    <cellStyle name="FRxPcntStyle" xfId="2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rmal 3" xfId="46"/>
    <cellStyle name="Normal 4" xfId="45"/>
    <cellStyle name="Normal 5" xfId="52"/>
    <cellStyle name="Normal 6" xfId="57"/>
    <cellStyle name="Note 2" xfId="39"/>
    <cellStyle name="Note 2 2" xfId="47"/>
    <cellStyle name="Note 3" xfId="40"/>
    <cellStyle name="Output 2" xfId="41"/>
    <cellStyle name="STYLE1" xfId="55"/>
    <cellStyle name="STYLE2" xfId="48"/>
    <cellStyle name="STYLE3" xfId="51"/>
    <cellStyle name="STYLE4" xfId="54"/>
    <cellStyle name="STYLE5" xfId="56"/>
    <cellStyle name="STYLE6" xfId="53"/>
    <cellStyle name="Title 2" xfId="42"/>
    <cellStyle name="Total 2" xfId="43"/>
    <cellStyle name="Warning Tex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bing.com/images/search?view=detailV2&amp;ccid=WWBo5%2bL6&amp;id=8BB58EEEBEAA2B787F5F4B803D524D9447F75B42&amp;thid=OIP.WWBo5-L6X2M_p4HAvLt27QHaE-&amp;mediaurl=https://cdn1-www.comingsoon.net/assets/uploads/2019/01/Zombie.jpg&amp;exph=538&amp;expw=800&amp;q=zombieland+double+tap&amp;simid=608020549047814953&amp;selectedIndex=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20</xdr:col>
      <xdr:colOff>419100</xdr:colOff>
      <xdr:row>12</xdr:row>
      <xdr:rowOff>76200</xdr:rowOff>
    </xdr:to>
    <xdr:pic>
      <xdr:nvPicPr>
        <xdr:cNvPr id="2" name="Picture 1" descr="Image result for zombieland double tap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65760"/>
          <a:ext cx="2857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ON/Operations/FINANCE/Budget/Budget%202019/Clare-Housing-2019-Budge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Total by month"/>
      <sheetName val="Support Housing"/>
      <sheetName val="APTS"/>
      <sheetName val="MIDTOWN"/>
      <sheetName val="Terrace"/>
      <sheetName val="Marshall"/>
      <sheetName val="FC TOTAL"/>
      <sheetName val="Damiano"/>
      <sheetName val="Agape Home"/>
      <sheetName val="AGAPE DOS"/>
      <sheetName val="Grace"/>
      <sheetName val="SS Total"/>
      <sheetName val="Cornerstone"/>
      <sheetName val="SPOL"/>
      <sheetName val="Hamline"/>
      <sheetName val="BlueLine"/>
      <sheetName val="MPLS"/>
      <sheetName val="Comms"/>
      <sheetName val="Fundraising"/>
      <sheetName val="Proj Dev"/>
      <sheetName val="Admin_Total"/>
      <sheetName val="Admin-Gen"/>
      <sheetName val="Admin-ED"/>
      <sheetName val="CADI"/>
      <sheetName val="Depreciation"/>
      <sheetName val="Sheet22"/>
      <sheetName val="Health insurance"/>
      <sheetName val="2nd half 2018 PR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D2">
            <v>0</v>
          </cell>
        </row>
        <row r="4">
          <cell r="D4">
            <v>23328</v>
          </cell>
        </row>
        <row r="6">
          <cell r="D6">
            <v>42609.600000000006</v>
          </cell>
        </row>
        <row r="14">
          <cell r="M14">
            <v>330475</v>
          </cell>
        </row>
      </sheetData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S270"/>
  <sheetViews>
    <sheetView tabSelected="1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S1" sqref="S1:W1048576"/>
    </sheetView>
  </sheetViews>
  <sheetFormatPr defaultRowHeight="14.4" x14ac:dyDescent="0.3"/>
  <cols>
    <col min="1" max="1" width="4.109375" style="63" customWidth="1"/>
    <col min="2" max="2" width="20" style="63" customWidth="1"/>
    <col min="3" max="3" width="9" style="63"/>
    <col min="4" max="4" width="1.88671875" style="63" customWidth="1"/>
    <col min="5" max="5" width="1.5546875" style="63" customWidth="1"/>
    <col min="6" max="7" width="9.44140625" style="63" bestFit="1" customWidth="1"/>
    <col min="8" max="12" width="9.109375" style="63" bestFit="1" customWidth="1"/>
    <col min="13" max="13" width="10" style="63" bestFit="1" customWidth="1"/>
    <col min="14" max="14" width="2.5546875" style="63" customWidth="1"/>
    <col min="15" max="15" width="3.44140625" style="63" customWidth="1"/>
    <col min="16" max="16" width="12.88671875" style="68" customWidth="1"/>
    <col min="18" max="18" width="9.5546875" style="43" bestFit="1" customWidth="1"/>
  </cols>
  <sheetData>
    <row r="1" spans="1:18" x14ac:dyDescent="0.3">
      <c r="A1" s="66"/>
      <c r="B1" s="7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8" ht="14.4" customHeight="1" x14ac:dyDescent="0.3">
      <c r="A2" s="66"/>
      <c r="B2" s="77" t="s">
        <v>222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8" x14ac:dyDescent="0.3">
      <c r="A3" s="66"/>
      <c r="B3" s="66"/>
      <c r="C3" s="68"/>
      <c r="D3" s="68"/>
      <c r="E3" s="68"/>
      <c r="F3" s="54" t="s">
        <v>155</v>
      </c>
      <c r="G3" s="54" t="s">
        <v>87</v>
      </c>
      <c r="H3" s="54" t="s">
        <v>89</v>
      </c>
      <c r="I3" s="54" t="s">
        <v>94</v>
      </c>
      <c r="J3" s="54" t="s">
        <v>92</v>
      </c>
      <c r="K3" s="54" t="s">
        <v>91</v>
      </c>
      <c r="L3" s="54" t="s">
        <v>98</v>
      </c>
      <c r="M3" s="54" t="s">
        <v>186</v>
      </c>
      <c r="N3" s="68"/>
      <c r="P3" s="54" t="s">
        <v>264</v>
      </c>
      <c r="R3" s="145" t="s">
        <v>318</v>
      </c>
    </row>
    <row r="4" spans="1:18" x14ac:dyDescent="0.3">
      <c r="A4" s="192" t="s">
        <v>99</v>
      </c>
      <c r="B4" s="192"/>
      <c r="C4" s="68"/>
      <c r="D4" s="68"/>
      <c r="E4" s="68"/>
      <c r="F4" s="54" t="s">
        <v>156</v>
      </c>
      <c r="G4" s="54" t="s">
        <v>88</v>
      </c>
      <c r="H4" s="54" t="s">
        <v>90</v>
      </c>
      <c r="I4" s="54" t="s">
        <v>95</v>
      </c>
      <c r="J4" s="54" t="s">
        <v>93</v>
      </c>
      <c r="K4" s="54"/>
      <c r="L4" s="54"/>
      <c r="M4" s="68"/>
      <c r="N4" s="68"/>
    </row>
    <row r="5" spans="1:18" x14ac:dyDescent="0.3">
      <c r="A5" s="193" t="s">
        <v>1</v>
      </c>
      <c r="B5" s="193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8" x14ac:dyDescent="0.3">
      <c r="A6" s="66"/>
      <c r="B6" s="67" t="s">
        <v>2</v>
      </c>
      <c r="C6" s="68"/>
      <c r="D6" s="68"/>
      <c r="E6" s="68"/>
      <c r="F6" s="68">
        <f>'Support Housing'!P6</f>
        <v>1119960.3906342469</v>
      </c>
      <c r="G6" s="69">
        <f>'FC TOTAL'!P6</f>
        <v>853830.1605</v>
      </c>
      <c r="H6" s="68">
        <f>'SS Total'!P6</f>
        <v>0</v>
      </c>
      <c r="I6" s="68">
        <f>'Proj Dev'!P6</f>
        <v>0</v>
      </c>
      <c r="J6" s="68">
        <f>Fundraising!P6</f>
        <v>0</v>
      </c>
      <c r="K6" s="68">
        <f>Comms!P6</f>
        <v>0</v>
      </c>
      <c r="L6" s="68">
        <f>Admin_Total!P6</f>
        <v>0</v>
      </c>
      <c r="M6" s="68">
        <f t="shared" ref="M6:M11" si="0">SUM(F6:L6)</f>
        <v>1973790.5511342469</v>
      </c>
      <c r="N6" s="42" t="s">
        <v>220</v>
      </c>
      <c r="P6" s="68">
        <v>1907282.7067999998</v>
      </c>
      <c r="R6" s="43">
        <v>1513377</v>
      </c>
    </row>
    <row r="7" spans="1:18" x14ac:dyDescent="0.3">
      <c r="A7" s="66"/>
      <c r="B7" s="67" t="s">
        <v>204</v>
      </c>
      <c r="C7" s="68"/>
      <c r="D7" s="68"/>
      <c r="E7" s="68"/>
      <c r="F7" s="68">
        <f>'Support Housing'!P7</f>
        <v>370723.2</v>
      </c>
      <c r="G7" s="68">
        <f>'FC TOTAL'!P7</f>
        <v>0</v>
      </c>
      <c r="H7" s="68">
        <f>'SS Total'!P7</f>
        <v>75303.150000000009</v>
      </c>
      <c r="I7" s="68">
        <f>'Proj Dev'!P7</f>
        <v>0</v>
      </c>
      <c r="J7" s="68">
        <f>Fundraising!P7</f>
        <v>0</v>
      </c>
      <c r="K7" s="68">
        <f>Comms!P7</f>
        <v>0</v>
      </c>
      <c r="L7" s="68">
        <f>Admin_Total!P7</f>
        <v>0</v>
      </c>
      <c r="M7" s="68">
        <f t="shared" si="0"/>
        <v>446026.35000000003</v>
      </c>
      <c r="N7" s="42" t="s">
        <v>220</v>
      </c>
      <c r="P7" s="68">
        <v>453082.94550000003</v>
      </c>
      <c r="R7" s="43">
        <v>331878</v>
      </c>
    </row>
    <row r="8" spans="1:18" s="42" customFormat="1" x14ac:dyDescent="0.3">
      <c r="A8" s="66"/>
      <c r="B8" s="94" t="s">
        <v>205</v>
      </c>
      <c r="C8" s="68"/>
      <c r="D8" s="68"/>
      <c r="E8" s="68"/>
      <c r="F8" s="68">
        <f>'Support Housing'!P8</f>
        <v>44514</v>
      </c>
      <c r="G8" s="68">
        <f>'FC TOTAL'!P8</f>
        <v>0</v>
      </c>
      <c r="H8" s="68">
        <f>'SS Total'!P8</f>
        <v>7200</v>
      </c>
      <c r="I8" s="68">
        <f>'Proj Dev'!P8</f>
        <v>0</v>
      </c>
      <c r="J8" s="68">
        <f>Fundraising!P8</f>
        <v>0</v>
      </c>
      <c r="K8" s="68">
        <f>Comms!P8</f>
        <v>0</v>
      </c>
      <c r="L8" s="68">
        <f>Admin_Total!P8</f>
        <v>0</v>
      </c>
      <c r="M8" s="68">
        <f t="shared" si="0"/>
        <v>51714</v>
      </c>
      <c r="N8" s="42" t="s">
        <v>220</v>
      </c>
      <c r="P8" s="68">
        <v>43740</v>
      </c>
      <c r="R8" s="43">
        <v>40824</v>
      </c>
    </row>
    <row r="9" spans="1:18" x14ac:dyDescent="0.3">
      <c r="A9" s="66"/>
      <c r="B9" s="67" t="s">
        <v>4</v>
      </c>
      <c r="C9" s="68"/>
      <c r="D9" s="68"/>
      <c r="E9" s="68"/>
      <c r="F9" s="68">
        <f>'Support Housing'!P9</f>
        <v>0</v>
      </c>
      <c r="G9" s="68">
        <f>'FC TOTAL'!P9</f>
        <v>126129.60000000002</v>
      </c>
      <c r="H9" s="68">
        <f>'SS Total'!P9</f>
        <v>0</v>
      </c>
      <c r="I9" s="68">
        <f>'Proj Dev'!P9</f>
        <v>0</v>
      </c>
      <c r="J9" s="68">
        <f>Fundraising!P9</f>
        <v>0</v>
      </c>
      <c r="K9" s="68">
        <f>Comms!P9</f>
        <v>0</v>
      </c>
      <c r="L9" s="68">
        <f>Admin_Total!P9</f>
        <v>0</v>
      </c>
      <c r="M9" s="68">
        <f t="shared" si="0"/>
        <v>126129.60000000002</v>
      </c>
      <c r="N9" s="42" t="s">
        <v>220</v>
      </c>
      <c r="P9" s="68">
        <v>164229.12</v>
      </c>
      <c r="R9" s="43">
        <v>121431</v>
      </c>
    </row>
    <row r="10" spans="1:18" s="42" customFormat="1" x14ac:dyDescent="0.3">
      <c r="A10" s="66"/>
      <c r="B10" s="94" t="s">
        <v>210</v>
      </c>
      <c r="C10" s="68"/>
      <c r="D10" s="68"/>
      <c r="E10" s="68"/>
      <c r="F10" s="68">
        <f>'Support Housing'!P10</f>
        <v>19041.61</v>
      </c>
      <c r="G10" s="68">
        <f>'FC TOTAL'!P10</f>
        <v>0</v>
      </c>
      <c r="H10" s="68">
        <f>'SS Total'!P10</f>
        <v>7380</v>
      </c>
      <c r="I10" s="68">
        <f>'Proj Dev'!P10</f>
        <v>0</v>
      </c>
      <c r="J10" s="68">
        <f>Fundraising!P10</f>
        <v>0</v>
      </c>
      <c r="K10" s="68">
        <f>Comms!P10</f>
        <v>0</v>
      </c>
      <c r="L10" s="68">
        <f>Admin_Total!P10</f>
        <v>0</v>
      </c>
      <c r="M10" s="68">
        <f t="shared" si="0"/>
        <v>26421.61</v>
      </c>
      <c r="N10" s="42" t="s">
        <v>220</v>
      </c>
      <c r="P10" s="68">
        <v>25871.064000000002</v>
      </c>
      <c r="R10" s="43">
        <v>23864</v>
      </c>
    </row>
    <row r="11" spans="1:18" x14ac:dyDescent="0.3">
      <c r="A11" s="66"/>
      <c r="B11" s="67" t="s">
        <v>207</v>
      </c>
      <c r="C11" s="68"/>
      <c r="D11" s="68"/>
      <c r="E11" s="68"/>
      <c r="F11" s="71">
        <f>'Support Housing'!P11</f>
        <v>0</v>
      </c>
      <c r="G11" s="71">
        <f>'FC TOTAL'!P11</f>
        <v>0</v>
      </c>
      <c r="H11" s="68">
        <f>'SS Total'!P11</f>
        <v>65448</v>
      </c>
      <c r="I11" s="68">
        <f>'Proj Dev'!P11</f>
        <v>0</v>
      </c>
      <c r="J11" s="68">
        <f>Fundraising!P11</f>
        <v>0</v>
      </c>
      <c r="K11" s="68">
        <f>Comms!P11</f>
        <v>0</v>
      </c>
      <c r="L11" s="68">
        <f>Admin_Total!P11</f>
        <v>0</v>
      </c>
      <c r="M11" s="68">
        <f t="shared" si="0"/>
        <v>65448</v>
      </c>
      <c r="N11" s="42" t="s">
        <v>220</v>
      </c>
      <c r="P11" s="68">
        <v>48108</v>
      </c>
      <c r="R11" s="43">
        <v>38010</v>
      </c>
    </row>
    <row r="12" spans="1:18" s="62" customFormat="1" x14ac:dyDescent="0.3">
      <c r="A12" s="193" t="s">
        <v>6</v>
      </c>
      <c r="B12" s="193"/>
      <c r="C12" s="44"/>
      <c r="D12" s="44"/>
      <c r="E12" s="44"/>
      <c r="F12" s="76">
        <f t="shared" ref="F12:M12" si="1">SUM(F6:F11)</f>
        <v>1554239.2006342469</v>
      </c>
      <c r="G12" s="76">
        <f t="shared" si="1"/>
        <v>979959.76049999997</v>
      </c>
      <c r="H12" s="76">
        <f t="shared" si="1"/>
        <v>155331.15000000002</v>
      </c>
      <c r="I12" s="76">
        <f t="shared" si="1"/>
        <v>0</v>
      </c>
      <c r="J12" s="76">
        <f t="shared" si="1"/>
        <v>0</v>
      </c>
      <c r="K12" s="76">
        <f t="shared" si="1"/>
        <v>0</v>
      </c>
      <c r="L12" s="76">
        <f t="shared" si="1"/>
        <v>0</v>
      </c>
      <c r="M12" s="76">
        <f t="shared" si="1"/>
        <v>2689530.1111342469</v>
      </c>
      <c r="N12" s="74"/>
      <c r="O12" s="75"/>
      <c r="P12" s="76">
        <v>2642313.8362999996</v>
      </c>
      <c r="R12" s="44">
        <v>2069382</v>
      </c>
    </row>
    <row r="13" spans="1:18" x14ac:dyDescent="0.3">
      <c r="A13" s="193" t="s">
        <v>7</v>
      </c>
      <c r="B13" s="193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8" x14ac:dyDescent="0.3">
      <c r="A14" s="66"/>
      <c r="B14" s="67" t="s">
        <v>8</v>
      </c>
      <c r="C14" s="68"/>
      <c r="D14" s="68"/>
      <c r="E14" s="68"/>
      <c r="F14" s="68">
        <f>'Support Housing'!P14</f>
        <v>373864</v>
      </c>
      <c r="G14" s="68">
        <f>'FC TOTAL'!P14</f>
        <v>0</v>
      </c>
      <c r="H14" s="68">
        <f>'SS Total'!P14</f>
        <v>187552</v>
      </c>
      <c r="I14" s="68">
        <f>'Proj Dev'!P14</f>
        <v>0</v>
      </c>
      <c r="J14" s="68">
        <f>Fundraising!P14</f>
        <v>0</v>
      </c>
      <c r="K14" s="68">
        <f>Comms!P14</f>
        <v>0</v>
      </c>
      <c r="L14" s="68">
        <f>Admin_Total!P14</f>
        <v>0</v>
      </c>
      <c r="M14" s="69">
        <f>SUM(F14:L14)</f>
        <v>561416</v>
      </c>
      <c r="N14" s="69"/>
      <c r="O14" s="70"/>
      <c r="P14" s="69">
        <v>492201</v>
      </c>
      <c r="R14" s="43">
        <v>377789</v>
      </c>
    </row>
    <row r="15" spans="1:18" x14ac:dyDescent="0.3">
      <c r="A15" s="66"/>
      <c r="B15" s="67" t="s">
        <v>9</v>
      </c>
      <c r="C15" s="68"/>
      <c r="D15" s="68"/>
      <c r="E15" s="68"/>
      <c r="F15" s="68">
        <f>'Support Housing'!P15</f>
        <v>0</v>
      </c>
      <c r="G15" s="68">
        <f>'FC TOTAL'!P15</f>
        <v>0</v>
      </c>
      <c r="H15" s="68">
        <f>'SS Total'!P15</f>
        <v>199152</v>
      </c>
      <c r="I15" s="68">
        <f>'Proj Dev'!P15</f>
        <v>0</v>
      </c>
      <c r="J15" s="68">
        <f>Fundraising!P15</f>
        <v>0</v>
      </c>
      <c r="K15" s="68">
        <f>Comms!P15</f>
        <v>0</v>
      </c>
      <c r="L15" s="68">
        <f>Admin_Total!P15</f>
        <v>0</v>
      </c>
      <c r="M15" s="68">
        <f>SUM(F15:L15)</f>
        <v>199152</v>
      </c>
      <c r="N15" s="68"/>
      <c r="O15" s="70" t="s">
        <v>221</v>
      </c>
      <c r="P15" s="68">
        <v>162912</v>
      </c>
      <c r="R15" s="43">
        <v>110154</v>
      </c>
    </row>
    <row r="16" spans="1:18" x14ac:dyDescent="0.3">
      <c r="A16" s="66"/>
      <c r="B16" s="67" t="s">
        <v>219</v>
      </c>
      <c r="C16" s="68"/>
      <c r="D16" s="68"/>
      <c r="E16" s="68"/>
      <c r="F16" s="68">
        <f>'Support Housing'!P16</f>
        <v>113624</v>
      </c>
      <c r="G16" s="68">
        <f>'FC TOTAL'!P16</f>
        <v>0</v>
      </c>
      <c r="H16" s="68">
        <f>'SS Total'!P16</f>
        <v>80629</v>
      </c>
      <c r="I16" s="68">
        <f>'Proj Dev'!P16</f>
        <v>0</v>
      </c>
      <c r="J16" s="68">
        <f>Fundraising!P16</f>
        <v>0</v>
      </c>
      <c r="K16" s="68">
        <f>Comms!P16</f>
        <v>0</v>
      </c>
      <c r="L16" s="68">
        <f>Admin_Total!P16</f>
        <v>0</v>
      </c>
      <c r="M16" s="68">
        <f>SUM(F16:L16)</f>
        <v>194253</v>
      </c>
      <c r="N16" s="68"/>
      <c r="O16" s="63" t="s">
        <v>221</v>
      </c>
      <c r="P16" s="69">
        <v>165282</v>
      </c>
      <c r="R16" s="43">
        <v>122740</v>
      </c>
    </row>
    <row r="17" spans="1:19" x14ac:dyDescent="0.3">
      <c r="A17" s="66"/>
      <c r="B17" s="66" t="s">
        <v>16</v>
      </c>
      <c r="C17" s="68"/>
      <c r="D17" s="68"/>
      <c r="E17" s="68"/>
      <c r="F17" s="68">
        <f>'Support Housing'!P17</f>
        <v>0</v>
      </c>
      <c r="G17" s="68">
        <f>'FC TOTAL'!P17</f>
        <v>0</v>
      </c>
      <c r="H17" s="68">
        <f>'SS Total'!P17</f>
        <v>0</v>
      </c>
      <c r="I17" s="68">
        <f>'Proj Dev'!P17</f>
        <v>0</v>
      </c>
      <c r="J17" s="68">
        <f>Fundraising!P17</f>
        <v>0</v>
      </c>
      <c r="K17" s="68">
        <f>Comms!P17</f>
        <v>0</v>
      </c>
      <c r="L17" s="68">
        <f>Admin_Total!P17</f>
        <v>0</v>
      </c>
      <c r="M17" s="68">
        <f>SUM(F17:L17)</f>
        <v>0</v>
      </c>
      <c r="N17" s="68"/>
      <c r="O17" s="75"/>
      <c r="P17" s="68">
        <v>0</v>
      </c>
    </row>
    <row r="18" spans="1:19" s="62" customFormat="1" x14ac:dyDescent="0.3">
      <c r="A18" s="193" t="s">
        <v>10</v>
      </c>
      <c r="B18" s="193"/>
      <c r="C18" s="44"/>
      <c r="D18" s="44"/>
      <c r="E18" s="44"/>
      <c r="F18" s="76">
        <f>SUM(F14:F17)</f>
        <v>487488</v>
      </c>
      <c r="G18" s="76">
        <f t="shared" ref="G18:M18" si="2">SUM(G14:G17)</f>
        <v>0</v>
      </c>
      <c r="H18" s="76">
        <f t="shared" si="2"/>
        <v>467333</v>
      </c>
      <c r="I18" s="76">
        <f t="shared" si="2"/>
        <v>0</v>
      </c>
      <c r="J18" s="76">
        <f t="shared" si="2"/>
        <v>0</v>
      </c>
      <c r="K18" s="76">
        <f t="shared" si="2"/>
        <v>0</v>
      </c>
      <c r="L18" s="76">
        <f t="shared" si="2"/>
        <v>0</v>
      </c>
      <c r="M18" s="76">
        <f t="shared" si="2"/>
        <v>954821</v>
      </c>
      <c r="N18" s="74"/>
      <c r="O18" s="75"/>
      <c r="P18" s="76">
        <v>820395</v>
      </c>
      <c r="R18" s="44">
        <v>610683</v>
      </c>
    </row>
    <row r="19" spans="1:19" x14ac:dyDescent="0.3">
      <c r="A19" s="193" t="s">
        <v>11</v>
      </c>
      <c r="B19" s="193"/>
      <c r="C19" s="68"/>
      <c r="D19" s="68"/>
      <c r="E19" s="68"/>
      <c r="F19" s="68">
        <f>'Support Housing'!P19</f>
        <v>0</v>
      </c>
      <c r="G19" s="68">
        <f>'FC TOTAL'!P19</f>
        <v>0</v>
      </c>
      <c r="H19" s="68">
        <f>'SS Total'!P19</f>
        <v>0</v>
      </c>
      <c r="I19" s="68">
        <f>'Proj Dev'!P19</f>
        <v>0</v>
      </c>
      <c r="J19" s="68">
        <f>Fundraising!P19</f>
        <v>0</v>
      </c>
      <c r="K19" s="68">
        <f>Comms!P19</f>
        <v>0</v>
      </c>
      <c r="L19" s="68">
        <f>Admin_Total!P19</f>
        <v>0</v>
      </c>
      <c r="M19" s="68"/>
      <c r="N19" s="68"/>
    </row>
    <row r="20" spans="1:19" x14ac:dyDescent="0.3">
      <c r="A20" s="66"/>
      <c r="B20" s="67" t="s">
        <v>12</v>
      </c>
      <c r="C20" s="68"/>
      <c r="D20" s="68"/>
      <c r="E20" s="68"/>
      <c r="F20" s="68">
        <f>'Support Housing'!P20</f>
        <v>0</v>
      </c>
      <c r="G20" s="68">
        <f>'FC TOTAL'!P20</f>
        <v>0</v>
      </c>
      <c r="H20" s="68">
        <f>'SS Total'!P20</f>
        <v>0</v>
      </c>
      <c r="I20" s="68">
        <f>'Proj Dev'!P20</f>
        <v>0</v>
      </c>
      <c r="J20" s="68">
        <f>Fundraising!P20</f>
        <v>350000</v>
      </c>
      <c r="K20" s="68">
        <f>Comms!P20</f>
        <v>0</v>
      </c>
      <c r="L20" s="68">
        <f>Admin_Total!P20</f>
        <v>0</v>
      </c>
      <c r="M20" s="68">
        <f t="shared" ref="M20:M25" si="3">SUM(F20:L20)</f>
        <v>350000</v>
      </c>
      <c r="N20" s="68"/>
      <c r="O20" s="70"/>
      <c r="P20" s="68">
        <v>350000.00000000006</v>
      </c>
      <c r="R20" s="43">
        <v>216658</v>
      </c>
    </row>
    <row r="21" spans="1:19" x14ac:dyDescent="0.3">
      <c r="A21" s="66"/>
      <c r="B21" s="67" t="s">
        <v>96</v>
      </c>
      <c r="C21" s="68"/>
      <c r="D21" s="68"/>
      <c r="E21" s="68"/>
      <c r="F21" s="68">
        <f>'Support Housing'!P21</f>
        <v>0</v>
      </c>
      <c r="G21" s="68">
        <f>'FC TOTAL'!P21</f>
        <v>0</v>
      </c>
      <c r="H21" s="68">
        <f>'SS Total'!P21</f>
        <v>0</v>
      </c>
      <c r="I21" s="68">
        <f>'Proj Dev'!P21</f>
        <v>0</v>
      </c>
      <c r="J21" s="68">
        <f>Fundraising!P21</f>
        <v>395000</v>
      </c>
      <c r="K21" s="68">
        <f>Comms!P21</f>
        <v>0</v>
      </c>
      <c r="L21" s="68">
        <f>Admin_Total!P21</f>
        <v>0</v>
      </c>
      <c r="M21" s="68">
        <f t="shared" si="3"/>
        <v>395000</v>
      </c>
      <c r="N21" s="68"/>
      <c r="O21" s="70"/>
      <c r="P21" s="68">
        <v>325000</v>
      </c>
      <c r="R21" s="43">
        <v>173100</v>
      </c>
    </row>
    <row r="22" spans="1:19" x14ac:dyDescent="0.3">
      <c r="A22" s="66"/>
      <c r="B22" s="67" t="s">
        <v>97</v>
      </c>
      <c r="C22" s="68"/>
      <c r="D22" s="68"/>
      <c r="E22" s="68"/>
      <c r="F22" s="68">
        <f>'Support Housing'!P22</f>
        <v>0</v>
      </c>
      <c r="G22" s="68">
        <f>'FC TOTAL'!P22</f>
        <v>0</v>
      </c>
      <c r="H22" s="68">
        <f>'SS Total'!P22</f>
        <v>0</v>
      </c>
      <c r="I22" s="68">
        <f>'Proj Dev'!P22</f>
        <v>0</v>
      </c>
      <c r="J22" s="68">
        <f>Fundraising!P22</f>
        <v>80000</v>
      </c>
      <c r="K22" s="68">
        <f>Comms!P22</f>
        <v>0</v>
      </c>
      <c r="L22" s="68">
        <f>Admin_Total!P22</f>
        <v>0</v>
      </c>
      <c r="M22" s="68">
        <f t="shared" si="3"/>
        <v>80000</v>
      </c>
      <c r="N22" s="68"/>
      <c r="O22" s="70"/>
      <c r="P22" s="68">
        <v>60000</v>
      </c>
      <c r="R22" s="43">
        <v>72500</v>
      </c>
    </row>
    <row r="23" spans="1:19" x14ac:dyDescent="0.3">
      <c r="A23" s="66"/>
      <c r="B23" s="173" t="s">
        <v>409</v>
      </c>
      <c r="C23" s="68"/>
      <c r="D23" s="68"/>
      <c r="E23" s="68"/>
      <c r="F23" s="68">
        <f>'Support Housing'!P23</f>
        <v>0</v>
      </c>
      <c r="G23" s="68">
        <f>'FC TOTAL'!P23</f>
        <v>0</v>
      </c>
      <c r="H23" s="68">
        <f>'SS Total'!P23</f>
        <v>0</v>
      </c>
      <c r="I23" s="68">
        <f>'Proj Dev'!P23</f>
        <v>0</v>
      </c>
      <c r="J23" s="68">
        <f>Fundraising!P23</f>
        <v>25000</v>
      </c>
      <c r="K23" s="68">
        <f>Comms!P23</f>
        <v>0</v>
      </c>
      <c r="L23" s="68">
        <f>Admin_Total!P23</f>
        <v>0</v>
      </c>
      <c r="M23" s="68">
        <f t="shared" si="3"/>
        <v>25000</v>
      </c>
      <c r="N23" s="68"/>
      <c r="O23" s="70"/>
      <c r="P23" s="68">
        <v>32000.000000000004</v>
      </c>
      <c r="R23" s="43">
        <v>12198</v>
      </c>
    </row>
    <row r="24" spans="1:19" x14ac:dyDescent="0.3">
      <c r="A24" s="66"/>
      <c r="B24" s="67" t="s">
        <v>335</v>
      </c>
      <c r="C24" s="68"/>
      <c r="D24" s="68"/>
      <c r="E24" s="68"/>
      <c r="F24" s="68">
        <f>'Support Housing'!P24</f>
        <v>0</v>
      </c>
      <c r="G24" s="68">
        <f>'FC TOTAL'!P24</f>
        <v>0</v>
      </c>
      <c r="H24" s="68">
        <f>'SS Total'!P24</f>
        <v>0</v>
      </c>
      <c r="I24" s="68">
        <f>'Proj Dev'!P24</f>
        <v>0</v>
      </c>
      <c r="J24" s="68">
        <f>Fundraising!P24</f>
        <v>10000</v>
      </c>
      <c r="K24" s="68">
        <f>Comms!P24</f>
        <v>0</v>
      </c>
      <c r="L24" s="68">
        <f>Admin_Total!P24</f>
        <v>0</v>
      </c>
      <c r="M24" s="68">
        <f t="shared" si="3"/>
        <v>10000</v>
      </c>
      <c r="N24" s="68"/>
      <c r="O24" s="70"/>
      <c r="P24" s="68">
        <v>15000</v>
      </c>
      <c r="R24" s="43">
        <v>4957</v>
      </c>
    </row>
    <row r="25" spans="1:19" x14ac:dyDescent="0.3">
      <c r="A25" s="66"/>
      <c r="B25" s="66"/>
      <c r="C25" s="68"/>
      <c r="D25" s="68"/>
      <c r="E25" s="68"/>
      <c r="F25" s="68">
        <f>'Support Housing'!P25</f>
        <v>0</v>
      </c>
      <c r="G25" s="68">
        <f>'FC TOTAL'!P25</f>
        <v>0</v>
      </c>
      <c r="H25" s="68">
        <f>'SS Total'!P25</f>
        <v>0</v>
      </c>
      <c r="I25" s="68">
        <f>'Proj Dev'!P25</f>
        <v>0</v>
      </c>
      <c r="J25" s="68">
        <f>Fundraising!P25</f>
        <v>0</v>
      </c>
      <c r="K25" s="68">
        <f>Comms!P25</f>
        <v>0</v>
      </c>
      <c r="L25" s="68">
        <f>Admin_Total!P25</f>
        <v>0</v>
      </c>
      <c r="M25" s="68">
        <f t="shared" si="3"/>
        <v>0</v>
      </c>
      <c r="N25" s="68"/>
      <c r="O25" s="70"/>
      <c r="P25" s="68">
        <v>0</v>
      </c>
    </row>
    <row r="26" spans="1:19" s="62" customFormat="1" x14ac:dyDescent="0.3">
      <c r="A26" s="193" t="s">
        <v>15</v>
      </c>
      <c r="B26" s="193"/>
      <c r="C26" s="44"/>
      <c r="D26" s="44"/>
      <c r="E26" s="44"/>
      <c r="F26" s="76">
        <f>SUM(F19:F25)</f>
        <v>0</v>
      </c>
      <c r="G26" s="76">
        <f t="shared" ref="G26:M26" si="4">SUM(G19:G25)</f>
        <v>0</v>
      </c>
      <c r="H26" s="76">
        <f t="shared" si="4"/>
        <v>0</v>
      </c>
      <c r="I26" s="76">
        <f t="shared" si="4"/>
        <v>0</v>
      </c>
      <c r="J26" s="76">
        <f t="shared" si="4"/>
        <v>860000</v>
      </c>
      <c r="K26" s="76">
        <f t="shared" si="4"/>
        <v>0</v>
      </c>
      <c r="L26" s="76">
        <f t="shared" si="4"/>
        <v>0</v>
      </c>
      <c r="M26" s="76">
        <f t="shared" si="4"/>
        <v>860000</v>
      </c>
      <c r="N26" s="74"/>
      <c r="O26" s="75"/>
      <c r="P26" s="76">
        <v>782000</v>
      </c>
      <c r="R26" s="44">
        <v>479414</v>
      </c>
    </row>
    <row r="27" spans="1:19" x14ac:dyDescent="0.3">
      <c r="A27" s="193" t="s">
        <v>16</v>
      </c>
      <c r="B27" s="193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9" x14ac:dyDescent="0.3">
      <c r="A28" s="67" t="s">
        <v>17</v>
      </c>
      <c r="B28" s="67" t="s">
        <v>18</v>
      </c>
      <c r="C28" s="68"/>
      <c r="D28" s="68"/>
      <c r="E28" s="68"/>
      <c r="F28" s="68">
        <f>'Support Housing'!P28</f>
        <v>32179.429300000003</v>
      </c>
      <c r="G28" s="68">
        <f>'FC TOTAL'!P28</f>
        <v>0</v>
      </c>
      <c r="H28" s="68">
        <f>'SS Total'!P28</f>
        <v>0</v>
      </c>
      <c r="I28" s="68">
        <f>'Proj Dev'!P28</f>
        <v>0</v>
      </c>
      <c r="J28" s="68">
        <f>Fundraising!P28</f>
        <v>0</v>
      </c>
      <c r="K28" s="68">
        <f>Comms!P28</f>
        <v>0</v>
      </c>
      <c r="L28" s="68">
        <f>Admin_Total!P28</f>
        <v>0</v>
      </c>
      <c r="M28" s="68">
        <f>SUM(F28:L28)</f>
        <v>32179.429300000003</v>
      </c>
      <c r="N28" s="70" t="s">
        <v>220</v>
      </c>
      <c r="P28" s="69">
        <v>31242.460000000003</v>
      </c>
      <c r="R28" s="43">
        <v>30204</v>
      </c>
    </row>
    <row r="29" spans="1:19" x14ac:dyDescent="0.3">
      <c r="A29" s="67" t="s">
        <v>17</v>
      </c>
      <c r="B29" s="67" t="s">
        <v>19</v>
      </c>
      <c r="C29" s="68"/>
      <c r="D29" s="68"/>
      <c r="E29" s="68"/>
      <c r="F29" s="68">
        <f>'Support Housing'!P29</f>
        <v>0</v>
      </c>
      <c r="G29" s="68">
        <f>'FC TOTAL'!P29</f>
        <v>0</v>
      </c>
      <c r="H29" s="68">
        <f>'SS Total'!P29</f>
        <v>0</v>
      </c>
      <c r="I29" s="68">
        <f>'Proj Dev'!P29</f>
        <v>0</v>
      </c>
      <c r="J29" s="68">
        <f>Fundraising!P29</f>
        <v>0</v>
      </c>
      <c r="K29" s="68">
        <f>Comms!P29</f>
        <v>0</v>
      </c>
      <c r="L29" s="68">
        <f>Admin_Total!P29</f>
        <v>2100</v>
      </c>
      <c r="M29" s="68">
        <f>SUM(F29:L29)</f>
        <v>2100</v>
      </c>
      <c r="N29" s="70" t="s">
        <v>220</v>
      </c>
      <c r="O29" s="70"/>
      <c r="P29" s="68">
        <v>25200</v>
      </c>
      <c r="R29" s="43">
        <v>1574</v>
      </c>
    </row>
    <row r="30" spans="1:19" x14ac:dyDescent="0.3">
      <c r="A30" s="67" t="s">
        <v>17</v>
      </c>
      <c r="B30" s="67" t="s">
        <v>20</v>
      </c>
      <c r="C30" s="68"/>
      <c r="D30" s="68"/>
      <c r="E30" s="68"/>
      <c r="F30" s="68">
        <f>'Support Housing'!P30</f>
        <v>0</v>
      </c>
      <c r="G30" s="68">
        <f>'FC TOTAL'!P30</f>
        <v>40000</v>
      </c>
      <c r="H30" s="68">
        <f>'SS Total'!P30</f>
        <v>0</v>
      </c>
      <c r="I30" s="68">
        <f>'Proj Dev'!P30</f>
        <v>0</v>
      </c>
      <c r="J30" s="68">
        <f>Fundraising!P30</f>
        <v>0</v>
      </c>
      <c r="K30" s="68">
        <f>Comms!P30</f>
        <v>0</v>
      </c>
      <c r="L30" s="68">
        <f>Admin_Total!P30</f>
        <v>1800</v>
      </c>
      <c r="M30" s="69">
        <f>SUM(F30:L30)</f>
        <v>41800</v>
      </c>
      <c r="N30" s="70" t="s">
        <v>220</v>
      </c>
      <c r="O30" s="70"/>
      <c r="P30" s="69">
        <v>1800</v>
      </c>
    </row>
    <row r="31" spans="1:19" x14ac:dyDescent="0.3">
      <c r="A31" s="67" t="s">
        <v>17</v>
      </c>
      <c r="B31" s="67"/>
      <c r="C31" s="68"/>
      <c r="D31" s="68"/>
      <c r="E31" s="68"/>
      <c r="F31" s="68">
        <f>'Support Housing'!P31</f>
        <v>0</v>
      </c>
      <c r="G31" s="68">
        <f>'FC TOTAL'!P31</f>
        <v>0</v>
      </c>
      <c r="H31" s="68">
        <f>'SS Total'!P31</f>
        <v>0</v>
      </c>
      <c r="I31" s="68">
        <f>'Proj Dev'!P31</f>
        <v>0</v>
      </c>
      <c r="J31" s="68">
        <f>Fundraising!P31</f>
        <v>0</v>
      </c>
      <c r="K31" s="68">
        <f>Comms!P31</f>
        <v>0</v>
      </c>
      <c r="L31" s="68">
        <f>Admin_Total!P31</f>
        <v>0</v>
      </c>
      <c r="M31" s="68">
        <f>SUM(F31:L31)</f>
        <v>0</v>
      </c>
      <c r="N31" s="68"/>
      <c r="O31" s="70"/>
      <c r="P31" s="68">
        <v>0</v>
      </c>
    </row>
    <row r="32" spans="1:19" s="62" customFormat="1" x14ac:dyDescent="0.3">
      <c r="A32" s="72" t="s">
        <v>185</v>
      </c>
      <c r="B32" s="72"/>
      <c r="C32" s="44"/>
      <c r="D32" s="44"/>
      <c r="E32" s="44"/>
      <c r="F32" s="73">
        <f>F12+F18+F26+F28+F29+F30+F31</f>
        <v>2073906.6299342469</v>
      </c>
      <c r="G32" s="73">
        <f t="shared" ref="G32:M32" si="5">G12+G18+G26+G28+G29+G30+G31</f>
        <v>1019959.7605</v>
      </c>
      <c r="H32" s="73">
        <f t="shared" si="5"/>
        <v>622664.15</v>
      </c>
      <c r="I32" s="73">
        <f t="shared" si="5"/>
        <v>0</v>
      </c>
      <c r="J32" s="73">
        <f t="shared" si="5"/>
        <v>860000</v>
      </c>
      <c r="K32" s="73">
        <f t="shared" si="5"/>
        <v>0</v>
      </c>
      <c r="L32" s="73">
        <f t="shared" si="5"/>
        <v>3900</v>
      </c>
      <c r="M32" s="73">
        <f t="shared" si="5"/>
        <v>4580430.5404342469</v>
      </c>
      <c r="N32" s="74"/>
      <c r="O32" s="75"/>
      <c r="P32" s="73">
        <v>4302951.2962999996</v>
      </c>
      <c r="R32" s="43">
        <v>3191257</v>
      </c>
      <c r="S32" s="42"/>
    </row>
    <row r="33" spans="1:18" x14ac:dyDescent="0.3">
      <c r="A33" s="66"/>
      <c r="B33" s="66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P33" s="172">
        <f>M32/P32</f>
        <v>1.0644857970790524</v>
      </c>
    </row>
    <row r="34" spans="1:18" x14ac:dyDescent="0.3">
      <c r="A34" s="193" t="s">
        <v>22</v>
      </c>
      <c r="B34" s="193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8" x14ac:dyDescent="0.3">
      <c r="A35" s="66"/>
      <c r="B35" s="67" t="s">
        <v>23</v>
      </c>
      <c r="C35" s="68"/>
      <c r="D35" s="68"/>
      <c r="E35" s="68"/>
      <c r="F35" s="68">
        <f>'Support Housing'!P35</f>
        <v>1407562.5252000003</v>
      </c>
      <c r="G35" s="68">
        <f>'FC TOTAL'!P35</f>
        <v>815497.42559999996</v>
      </c>
      <c r="H35" s="68">
        <f>'SS Total'!P35</f>
        <v>132169.31520000001</v>
      </c>
      <c r="I35" s="68">
        <f>'Proj Dev'!P35</f>
        <v>0</v>
      </c>
      <c r="J35" s="68">
        <f>Fundraising!P35</f>
        <v>151698.96144000001</v>
      </c>
      <c r="K35" s="68">
        <f>Comms!P35</f>
        <v>17218.693440000003</v>
      </c>
      <c r="L35" s="68">
        <f>Admin_Total!P35</f>
        <v>247713.71976000001</v>
      </c>
      <c r="M35" s="68">
        <f>SUM(F35:L35)</f>
        <v>2771860.6406400008</v>
      </c>
      <c r="N35" s="68"/>
      <c r="O35" s="70"/>
      <c r="P35" s="68">
        <v>2826503.9806799991</v>
      </c>
      <c r="R35" s="43">
        <v>2031247</v>
      </c>
    </row>
    <row r="36" spans="1:18" x14ac:dyDescent="0.3">
      <c r="A36" s="66"/>
      <c r="B36" s="67" t="s">
        <v>24</v>
      </c>
      <c r="C36" s="68"/>
      <c r="D36" s="68"/>
      <c r="E36" s="68"/>
      <c r="F36" s="68">
        <f>'Support Housing'!P36</f>
        <v>103455.84560219996</v>
      </c>
      <c r="G36" s="68">
        <f>'FC TOTAL'!P36</f>
        <v>59939.060781599997</v>
      </c>
      <c r="H36" s="68">
        <f>'SS Total'!P36</f>
        <v>9714.4446672000013</v>
      </c>
      <c r="I36" s="68">
        <f>'Proj Dev'!P36</f>
        <v>0</v>
      </c>
      <c r="J36" s="68">
        <f>Fundraising!P36</f>
        <v>11149.873665840001</v>
      </c>
      <c r="K36" s="68">
        <f>Comms!P36</f>
        <v>1265.57396784</v>
      </c>
      <c r="L36" s="68">
        <f>Admin_Total!P36</f>
        <v>18206.958402360004</v>
      </c>
      <c r="M36" s="68">
        <f>SUM(F36:L36)</f>
        <v>203731.75708703996</v>
      </c>
      <c r="N36" s="68"/>
      <c r="O36" s="70"/>
      <c r="P36" s="68">
        <v>206334.79058964</v>
      </c>
      <c r="Q36" s="42"/>
      <c r="R36" s="43">
        <v>148199</v>
      </c>
    </row>
    <row r="37" spans="1:18" x14ac:dyDescent="0.3">
      <c r="A37" s="66"/>
      <c r="B37" s="67" t="s">
        <v>25</v>
      </c>
      <c r="C37" s="68"/>
      <c r="D37" s="68"/>
      <c r="E37" s="68"/>
      <c r="F37" s="68">
        <f>'Support Housing'!P37</f>
        <v>0</v>
      </c>
      <c r="G37" s="68">
        <f>'FC TOTAL'!P37</f>
        <v>0</v>
      </c>
      <c r="H37" s="68">
        <f>'SS Total'!P37</f>
        <v>0</v>
      </c>
      <c r="I37" s="68">
        <f>'Proj Dev'!P37</f>
        <v>0</v>
      </c>
      <c r="J37" s="68">
        <f>Fundraising!P37</f>
        <v>0</v>
      </c>
      <c r="K37" s="68">
        <f>Comms!P37</f>
        <v>0</v>
      </c>
      <c r="L37" s="68">
        <f>Admin_Total!P37</f>
        <v>0</v>
      </c>
      <c r="M37" s="68">
        <f t="shared" ref="M37:M42" si="6">SUM(F37:L37)</f>
        <v>0</v>
      </c>
      <c r="N37" s="68"/>
      <c r="O37" s="70"/>
      <c r="P37" s="68">
        <v>0</v>
      </c>
    </row>
    <row r="38" spans="1:18" x14ac:dyDescent="0.3">
      <c r="A38" s="66"/>
      <c r="B38" s="67" t="s">
        <v>26</v>
      </c>
      <c r="C38" s="68"/>
      <c r="D38" s="68"/>
      <c r="E38" s="68"/>
      <c r="F38" s="68">
        <f>'Support Housing'!P38</f>
        <v>169499.97857306883</v>
      </c>
      <c r="G38" s="68">
        <f>'FC TOTAL'!P38</f>
        <v>98202.95275760637</v>
      </c>
      <c r="H38" s="68">
        <f>'SS Total'!P38</f>
        <v>15915.950938828802</v>
      </c>
      <c r="I38" s="68">
        <f>'Proj Dev'!P38</f>
        <v>0</v>
      </c>
      <c r="J38" s="68">
        <f>Fundraising!P38</f>
        <v>18267.740635566239</v>
      </c>
      <c r="K38" s="68">
        <f>Comms!P38</f>
        <v>2073.4922827382402</v>
      </c>
      <c r="L38" s="68">
        <f>Admin_Total!P38</f>
        <v>29829.933847218963</v>
      </c>
      <c r="M38" s="68">
        <f t="shared" si="6"/>
        <v>333790.04903502751</v>
      </c>
      <c r="N38" s="68"/>
      <c r="O38" s="70"/>
      <c r="P38" s="68">
        <v>330475.00000000006</v>
      </c>
      <c r="R38" s="43">
        <v>243030</v>
      </c>
    </row>
    <row r="39" spans="1:18" x14ac:dyDescent="0.3">
      <c r="A39" s="66"/>
      <c r="B39" s="67" t="s">
        <v>27</v>
      </c>
      <c r="C39" s="68"/>
      <c r="D39" s="68"/>
      <c r="E39" s="68"/>
      <c r="F39" s="68">
        <f>'Support Housing'!P39</f>
        <v>15764.700282240001</v>
      </c>
      <c r="G39" s="68">
        <f>'FC TOTAL'!P39</f>
        <v>9133.5711667200012</v>
      </c>
      <c r="H39" s="68">
        <f>'SS Total'!P39</f>
        <v>1480.2963302399999</v>
      </c>
      <c r="I39" s="68">
        <f>'Proj Dev'!P39</f>
        <v>0</v>
      </c>
      <c r="J39" s="68">
        <f>Fundraising!P39</f>
        <v>1699.0283681280002</v>
      </c>
      <c r="K39" s="68">
        <f>Comms!P39</f>
        <v>152.37510572793599</v>
      </c>
      <c r="L39" s="68">
        <f>Admin_Total!P39</f>
        <v>2774.3936613119995</v>
      </c>
      <c r="M39" s="68">
        <f t="shared" si="6"/>
        <v>31004.364914367939</v>
      </c>
      <c r="N39" s="68"/>
      <c r="O39" s="70"/>
      <c r="P39" s="68">
        <v>23327.999999999993</v>
      </c>
      <c r="R39" s="43">
        <v>21032</v>
      </c>
    </row>
    <row r="40" spans="1:18" x14ac:dyDescent="0.3">
      <c r="A40" s="66"/>
      <c r="B40" s="67" t="s">
        <v>28</v>
      </c>
      <c r="C40" s="68" t="s">
        <v>99</v>
      </c>
      <c r="D40" s="68"/>
      <c r="E40" s="68"/>
      <c r="F40" s="68">
        <f>'Support Housing'!P40</f>
        <v>39411.750705599996</v>
      </c>
      <c r="G40" s="68">
        <f>'FC TOTAL'!P40</f>
        <v>22833.927916800003</v>
      </c>
      <c r="H40" s="68">
        <f>'SS Total'!P40</f>
        <v>3700.7408256000008</v>
      </c>
      <c r="I40" s="68">
        <f>'Proj Dev'!P40</f>
        <v>0</v>
      </c>
      <c r="J40" s="68">
        <f>Fundraising!P40</f>
        <v>4247.5709203199995</v>
      </c>
      <c r="K40" s="68">
        <f>Comms!P40</f>
        <v>0</v>
      </c>
      <c r="L40" s="68">
        <f>Admin_Total!P40</f>
        <v>6935.9841532799992</v>
      </c>
      <c r="M40" s="68">
        <f t="shared" si="6"/>
        <v>77129.974521600001</v>
      </c>
      <c r="N40" s="68"/>
      <c r="O40" s="70"/>
      <c r="P40" s="68">
        <v>76315.607478360005</v>
      </c>
      <c r="R40" s="68">
        <v>56557</v>
      </c>
    </row>
    <row r="41" spans="1:18" x14ac:dyDescent="0.3">
      <c r="A41" s="66"/>
      <c r="B41" s="67" t="s">
        <v>29</v>
      </c>
      <c r="C41" s="68" t="s">
        <v>99</v>
      </c>
      <c r="D41" s="68"/>
      <c r="E41" s="68"/>
      <c r="F41" s="68">
        <f>'Support Housing'!P41</f>
        <v>19325.833470996</v>
      </c>
      <c r="G41" s="68">
        <f>'FC TOTAL'!P41</f>
        <v>11196.779653488002</v>
      </c>
      <c r="H41" s="68">
        <f>'SS Total'!P41</f>
        <v>1814.6846976960001</v>
      </c>
      <c r="I41" s="68">
        <f>'Proj Dev'!P41</f>
        <v>0</v>
      </c>
      <c r="J41" s="68">
        <f>Fundraising!P41</f>
        <v>2082.8267405711999</v>
      </c>
      <c r="K41" s="68">
        <f>Comms!P41</f>
        <v>236.41266093119998</v>
      </c>
      <c r="L41" s="68">
        <f>Admin_Total!P41</f>
        <v>3401.1093723047993</v>
      </c>
      <c r="M41" s="68">
        <f t="shared" si="6"/>
        <v>38057.6465959872</v>
      </c>
      <c r="N41" s="68"/>
      <c r="O41" s="70"/>
      <c r="P41" s="68">
        <v>42609.599999999999</v>
      </c>
      <c r="R41" s="43">
        <v>29235</v>
      </c>
    </row>
    <row r="42" spans="1:18" x14ac:dyDescent="0.3">
      <c r="A42" s="66"/>
      <c r="B42" s="67" t="s">
        <v>16</v>
      </c>
      <c r="C42" s="68"/>
      <c r="D42" s="68"/>
      <c r="E42" s="68"/>
      <c r="F42" s="68">
        <f>'Support Housing'!P42</f>
        <v>0</v>
      </c>
      <c r="G42" s="68">
        <f>'FC TOTAL'!P42</f>
        <v>0</v>
      </c>
      <c r="H42" s="68">
        <f>'SS Total'!P42</f>
        <v>0</v>
      </c>
      <c r="I42" s="68">
        <f>'Proj Dev'!P42</f>
        <v>0</v>
      </c>
      <c r="J42" s="68">
        <f>Fundraising!P42</f>
        <v>0</v>
      </c>
      <c r="K42" s="68">
        <f>Comms!P42</f>
        <v>0</v>
      </c>
      <c r="L42" s="68">
        <f>Admin_Total!P42</f>
        <v>0</v>
      </c>
      <c r="M42" s="68">
        <f t="shared" si="6"/>
        <v>0</v>
      </c>
      <c r="N42" s="68"/>
      <c r="O42" s="70"/>
      <c r="P42" s="68">
        <v>1800</v>
      </c>
    </row>
    <row r="43" spans="1:18" s="62" customFormat="1" x14ac:dyDescent="0.3">
      <c r="A43" s="193" t="s">
        <v>31</v>
      </c>
      <c r="B43" s="193"/>
      <c r="C43" s="44"/>
      <c r="D43" s="44"/>
      <c r="E43" s="44"/>
      <c r="F43" s="76">
        <f>SUM(F35:F42)</f>
        <v>1755020.633834105</v>
      </c>
      <c r="G43" s="76">
        <f t="shared" ref="G43:M43" si="7">SUM(G35:G42)</f>
        <v>1016803.7178762143</v>
      </c>
      <c r="H43" s="76">
        <f t="shared" si="7"/>
        <v>164795.43265956483</v>
      </c>
      <c r="I43" s="76">
        <f t="shared" si="7"/>
        <v>0</v>
      </c>
      <c r="J43" s="76">
        <f t="shared" si="7"/>
        <v>189146.00177042544</v>
      </c>
      <c r="K43" s="76">
        <f t="shared" si="7"/>
        <v>20946.547457237379</v>
      </c>
      <c r="L43" s="76">
        <f t="shared" si="7"/>
        <v>308862.09919647576</v>
      </c>
      <c r="M43" s="76">
        <f t="shared" si="7"/>
        <v>3455574.4327940233</v>
      </c>
      <c r="N43" s="74"/>
      <c r="O43" s="75"/>
      <c r="P43" s="76">
        <v>3507366.9787479993</v>
      </c>
      <c r="R43" s="44">
        <f>SUM(R35:R41)</f>
        <v>2529300</v>
      </c>
    </row>
    <row r="44" spans="1:18" x14ac:dyDescent="0.3">
      <c r="A44" s="193" t="s">
        <v>32</v>
      </c>
      <c r="B44" s="193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>
        <f>M41/M35</f>
        <v>1.3729999999999996E-2</v>
      </c>
      <c r="N44" s="68"/>
      <c r="P44" s="68" t="s">
        <v>99</v>
      </c>
    </row>
    <row r="45" spans="1:18" x14ac:dyDescent="0.3">
      <c r="A45" s="66"/>
      <c r="B45" s="67" t="s">
        <v>33</v>
      </c>
      <c r="C45" s="68"/>
      <c r="D45" s="68"/>
      <c r="E45" s="68"/>
      <c r="F45" s="69">
        <f>'Support Housing'!P45</f>
        <v>0</v>
      </c>
      <c r="G45" s="68">
        <f>'FC TOTAL'!P45</f>
        <v>49200</v>
      </c>
      <c r="H45" s="68">
        <f>'SS Total'!P45</f>
        <v>0</v>
      </c>
      <c r="I45" s="68">
        <f>'Proj Dev'!P45</f>
        <v>0</v>
      </c>
      <c r="J45" s="68">
        <f>Fundraising!P45</f>
        <v>0</v>
      </c>
      <c r="K45" s="68">
        <f>Comms!P45</f>
        <v>0</v>
      </c>
      <c r="L45" s="68">
        <f>Admin_Total!P45</f>
        <v>0</v>
      </c>
      <c r="M45" s="68">
        <f t="shared" ref="M45:M53" si="8">SUM(F45:L45)</f>
        <v>49200</v>
      </c>
      <c r="N45" s="68"/>
      <c r="O45" s="70"/>
      <c r="P45" s="68">
        <v>61200</v>
      </c>
      <c r="R45" s="43">
        <v>42050</v>
      </c>
    </row>
    <row r="46" spans="1:18" x14ac:dyDescent="0.3">
      <c r="A46" s="66"/>
      <c r="B46" s="67" t="s">
        <v>34</v>
      </c>
      <c r="C46" s="68"/>
      <c r="D46" s="68"/>
      <c r="E46" s="68"/>
      <c r="F46" s="69">
        <f>'Support Housing'!P46</f>
        <v>6600</v>
      </c>
      <c r="G46" s="68">
        <f>'FC TOTAL'!P46</f>
        <v>9300</v>
      </c>
      <c r="H46" s="68">
        <f>'SS Total'!P46</f>
        <v>0</v>
      </c>
      <c r="I46" s="68">
        <f>'Proj Dev'!P46</f>
        <v>0</v>
      </c>
      <c r="J46" s="68">
        <f>Fundraising!P46</f>
        <v>0</v>
      </c>
      <c r="K46" s="68">
        <f>Comms!P46</f>
        <v>0</v>
      </c>
      <c r="L46" s="68">
        <f>Admin_Total!P46</f>
        <v>0</v>
      </c>
      <c r="M46" s="68">
        <f t="shared" si="8"/>
        <v>15900</v>
      </c>
      <c r="N46" s="68"/>
      <c r="O46" s="70"/>
      <c r="P46" s="68">
        <v>23800</v>
      </c>
      <c r="R46" s="43">
        <v>15154</v>
      </c>
    </row>
    <row r="47" spans="1:18" x14ac:dyDescent="0.3">
      <c r="A47" s="66"/>
      <c r="B47" s="67" t="s">
        <v>35</v>
      </c>
      <c r="C47" s="68"/>
      <c r="D47" s="68"/>
      <c r="E47" s="68"/>
      <c r="F47" s="69">
        <f>'Support Housing'!P47</f>
        <v>8136</v>
      </c>
      <c r="G47" s="68">
        <f>'FC TOTAL'!P47</f>
        <v>3600</v>
      </c>
      <c r="H47" s="68">
        <f>'SS Total'!P47</f>
        <v>0</v>
      </c>
      <c r="I47" s="68">
        <f>'Proj Dev'!P47</f>
        <v>0</v>
      </c>
      <c r="J47" s="68">
        <f>Fundraising!P47</f>
        <v>0</v>
      </c>
      <c r="K47" s="68">
        <f>Comms!P47</f>
        <v>0</v>
      </c>
      <c r="L47" s="68">
        <f>Admin_Total!P47</f>
        <v>0</v>
      </c>
      <c r="M47" s="68">
        <f t="shared" si="8"/>
        <v>11736</v>
      </c>
      <c r="N47" s="68"/>
      <c r="O47" s="70"/>
      <c r="P47" s="68">
        <v>11300</v>
      </c>
      <c r="R47" s="43">
        <v>9091</v>
      </c>
    </row>
    <row r="48" spans="1:18" x14ac:dyDescent="0.3">
      <c r="A48" s="66"/>
      <c r="B48" s="67" t="s">
        <v>36</v>
      </c>
      <c r="C48" s="68"/>
      <c r="D48" s="68"/>
      <c r="E48" s="68"/>
      <c r="F48" s="69">
        <f>'Support Housing'!P48</f>
        <v>3300</v>
      </c>
      <c r="G48" s="68">
        <f>'FC TOTAL'!P48</f>
        <v>1800</v>
      </c>
      <c r="H48" s="68">
        <f>'SS Total'!P48</f>
        <v>0</v>
      </c>
      <c r="I48" s="68">
        <f>'Proj Dev'!P48</f>
        <v>0</v>
      </c>
      <c r="J48" s="68">
        <f>Fundraising!P48</f>
        <v>0</v>
      </c>
      <c r="K48" s="68">
        <f>Comms!P48</f>
        <v>0</v>
      </c>
      <c r="L48" s="68">
        <f>Admin_Total!P48</f>
        <v>0</v>
      </c>
      <c r="M48" s="69">
        <f t="shared" si="8"/>
        <v>5100</v>
      </c>
      <c r="N48" s="69"/>
      <c r="O48" s="70"/>
      <c r="P48" s="69">
        <v>5750</v>
      </c>
      <c r="R48" s="43">
        <v>5417</v>
      </c>
    </row>
    <row r="49" spans="1:18" x14ac:dyDescent="0.3">
      <c r="A49" s="66"/>
      <c r="B49" s="67" t="s">
        <v>37</v>
      </c>
      <c r="C49" s="68"/>
      <c r="D49" s="68"/>
      <c r="E49" s="68"/>
      <c r="F49" s="69">
        <f>'Support Housing'!P49</f>
        <v>2340</v>
      </c>
      <c r="G49" s="68">
        <f>'FC TOTAL'!P49</f>
        <v>1080</v>
      </c>
      <c r="H49" s="68">
        <f>'SS Total'!P49</f>
        <v>480</v>
      </c>
      <c r="I49" s="68">
        <f>'Proj Dev'!P49</f>
        <v>0</v>
      </c>
      <c r="J49" s="68">
        <f>Fundraising!P49</f>
        <v>0</v>
      </c>
      <c r="K49" s="68">
        <f>Comms!P49</f>
        <v>0</v>
      </c>
      <c r="L49" s="68">
        <f>Admin_Total!P49</f>
        <v>0</v>
      </c>
      <c r="M49" s="68">
        <f t="shared" si="8"/>
        <v>3900</v>
      </c>
      <c r="N49" s="68"/>
      <c r="O49" s="70"/>
      <c r="P49" s="68">
        <v>4170</v>
      </c>
      <c r="R49" s="43">
        <v>3033</v>
      </c>
    </row>
    <row r="50" spans="1:18" s="42" customFormat="1" x14ac:dyDescent="0.3">
      <c r="A50" s="66"/>
      <c r="B50" s="91" t="s">
        <v>194</v>
      </c>
      <c r="C50" s="68"/>
      <c r="D50" s="68"/>
      <c r="E50" s="68"/>
      <c r="F50" s="69">
        <f>'Support Housing'!P50</f>
        <v>12000</v>
      </c>
      <c r="G50" s="68">
        <f>'FC TOTAL'!P50</f>
        <v>4500</v>
      </c>
      <c r="H50" s="68">
        <f>'SS Total'!P50</f>
        <v>840</v>
      </c>
      <c r="I50" s="68">
        <f>'Proj Dev'!P50</f>
        <v>0</v>
      </c>
      <c r="J50" s="68">
        <f>Fundraising!P50</f>
        <v>0</v>
      </c>
      <c r="K50" s="68">
        <f>Comms!P50</f>
        <v>0</v>
      </c>
      <c r="L50" s="68">
        <f>Admin_Total!P50</f>
        <v>0</v>
      </c>
      <c r="M50" s="68">
        <f>SUM(F50:L50)</f>
        <v>17340</v>
      </c>
      <c r="N50" s="68"/>
      <c r="O50" s="70"/>
      <c r="P50" s="69">
        <v>10800</v>
      </c>
      <c r="R50" s="68">
        <v>7688</v>
      </c>
    </row>
    <row r="51" spans="1:18" x14ac:dyDescent="0.3">
      <c r="A51" s="66"/>
      <c r="B51" s="67" t="s">
        <v>38</v>
      </c>
      <c r="C51" s="68"/>
      <c r="D51" s="68"/>
      <c r="E51" s="68"/>
      <c r="F51" s="69">
        <f>'Support Housing'!P51</f>
        <v>10368</v>
      </c>
      <c r="G51" s="68">
        <f>'FC TOTAL'!P51</f>
        <v>3240</v>
      </c>
      <c r="H51" s="68">
        <f>'SS Total'!P51</f>
        <v>0</v>
      </c>
      <c r="I51" s="68">
        <f>'Proj Dev'!P50</f>
        <v>0</v>
      </c>
      <c r="J51" s="68">
        <f>Fundraising!P51</f>
        <v>0</v>
      </c>
      <c r="K51" s="68">
        <f>Comms!P51</f>
        <v>0</v>
      </c>
      <c r="L51" s="68">
        <f>Admin_Total!P51</f>
        <v>0</v>
      </c>
      <c r="M51" s="69">
        <f t="shared" si="8"/>
        <v>13608</v>
      </c>
      <c r="N51" s="69"/>
      <c r="O51" s="70"/>
      <c r="P51" s="68">
        <v>0</v>
      </c>
      <c r="R51" s="43">
        <v>12672</v>
      </c>
    </row>
    <row r="52" spans="1:18" s="42" customFormat="1" x14ac:dyDescent="0.3">
      <c r="A52" s="66"/>
      <c r="B52" s="67" t="s">
        <v>75</v>
      </c>
      <c r="C52" s="68"/>
      <c r="D52" s="68"/>
      <c r="E52" s="68"/>
      <c r="F52" s="68"/>
      <c r="G52" s="68"/>
      <c r="H52" s="68">
        <f>'SS Total'!P94</f>
        <v>378408</v>
      </c>
      <c r="I52" s="68"/>
      <c r="J52" s="68"/>
      <c r="K52" s="68"/>
      <c r="L52" s="68"/>
      <c r="M52" s="69">
        <f t="shared" si="8"/>
        <v>378408</v>
      </c>
      <c r="N52" s="69"/>
      <c r="O52" s="70"/>
      <c r="P52" s="69">
        <v>279460.99999999994</v>
      </c>
      <c r="R52" s="43">
        <v>198274</v>
      </c>
    </row>
    <row r="53" spans="1:18" x14ac:dyDescent="0.3">
      <c r="A53" s="66"/>
      <c r="B53" s="67" t="s">
        <v>39</v>
      </c>
      <c r="C53" s="68"/>
      <c r="D53" s="68"/>
      <c r="E53" s="68"/>
      <c r="F53" s="68">
        <f>'Support Housing'!P52</f>
        <v>12600</v>
      </c>
      <c r="G53" s="68">
        <f>'FC TOTAL'!P52</f>
        <v>3000</v>
      </c>
      <c r="H53" s="69">
        <f>'SS Total'!P53</f>
        <v>600</v>
      </c>
      <c r="I53" s="68">
        <f>'Proj Dev'!P51</f>
        <v>0</v>
      </c>
      <c r="J53" s="68">
        <f>Fundraising!P52</f>
        <v>0</v>
      </c>
      <c r="K53" s="68">
        <f>Comms!P52</f>
        <v>0</v>
      </c>
      <c r="L53" s="68">
        <f>Admin_Total!P52</f>
        <v>0</v>
      </c>
      <c r="M53" s="69">
        <f t="shared" si="8"/>
        <v>16200</v>
      </c>
      <c r="N53" s="69"/>
      <c r="O53" s="70"/>
      <c r="P53" s="69">
        <v>9600</v>
      </c>
      <c r="R53" s="43">
        <v>12363</v>
      </c>
    </row>
    <row r="54" spans="1:18" s="62" customFormat="1" x14ac:dyDescent="0.3">
      <c r="A54" s="193" t="s">
        <v>40</v>
      </c>
      <c r="B54" s="193"/>
      <c r="C54" s="44"/>
      <c r="D54" s="44"/>
      <c r="E54" s="44"/>
      <c r="F54" s="76">
        <f>SUM(F45:F53)</f>
        <v>55344</v>
      </c>
      <c r="G54" s="76">
        <f t="shared" ref="G54:L54" si="9">SUM(G45:G53)</f>
        <v>75720</v>
      </c>
      <c r="H54" s="76">
        <f t="shared" si="9"/>
        <v>380328</v>
      </c>
      <c r="I54" s="76">
        <f t="shared" si="9"/>
        <v>0</v>
      </c>
      <c r="J54" s="76">
        <f t="shared" si="9"/>
        <v>0</v>
      </c>
      <c r="K54" s="76">
        <f t="shared" si="9"/>
        <v>0</v>
      </c>
      <c r="L54" s="76">
        <f t="shared" si="9"/>
        <v>0</v>
      </c>
      <c r="M54" s="76">
        <f>SUM(M44:M53)</f>
        <v>511392.01373000001</v>
      </c>
      <c r="N54" s="74"/>
      <c r="O54" s="75"/>
      <c r="P54" s="76">
        <f>SUM(P45:P53)</f>
        <v>406080.99999999994</v>
      </c>
      <c r="R54" s="44">
        <f>SUM(R45:R53)</f>
        <v>305742</v>
      </c>
    </row>
    <row r="55" spans="1:18" x14ac:dyDescent="0.3">
      <c r="A55" s="193" t="s">
        <v>41</v>
      </c>
      <c r="B55" s="193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</row>
    <row r="56" spans="1:18" x14ac:dyDescent="0.3">
      <c r="A56" s="66"/>
      <c r="B56" s="67" t="s">
        <v>42</v>
      </c>
      <c r="C56" s="68"/>
      <c r="D56" s="68"/>
      <c r="E56" s="68"/>
      <c r="F56" s="68">
        <f>'Support Housing'!P55</f>
        <v>0</v>
      </c>
      <c r="G56" s="68">
        <f>'FC TOTAL'!P55</f>
        <v>0</v>
      </c>
      <c r="H56" s="68">
        <f>'SS Total'!P56</f>
        <v>0</v>
      </c>
      <c r="I56" s="68">
        <f>'Proj Dev'!P54</f>
        <v>0</v>
      </c>
      <c r="J56" s="68">
        <f>Fundraising!P55</f>
        <v>52500</v>
      </c>
      <c r="K56" s="68">
        <f>Comms!P55</f>
        <v>2000</v>
      </c>
      <c r="L56" s="68">
        <f>Admin_Total!P55</f>
        <v>0</v>
      </c>
      <c r="M56" s="68">
        <f t="shared" ref="M56:M84" si="10">SUM(F56:L56)</f>
        <v>54500</v>
      </c>
      <c r="N56" s="68" t="s">
        <v>220</v>
      </c>
      <c r="P56" s="68">
        <v>52999.999999999993</v>
      </c>
      <c r="R56" s="43">
        <v>40069</v>
      </c>
    </row>
    <row r="57" spans="1:18" x14ac:dyDescent="0.3">
      <c r="A57" s="66"/>
      <c r="B57" s="67" t="s">
        <v>43</v>
      </c>
      <c r="C57" s="68"/>
      <c r="D57" s="68"/>
      <c r="E57" s="68"/>
      <c r="F57" s="68">
        <f>'Support Housing'!P56</f>
        <v>2700</v>
      </c>
      <c r="G57" s="68">
        <f>'FC TOTAL'!P56</f>
        <v>750</v>
      </c>
      <c r="H57" s="68">
        <f>'SS Total'!P57</f>
        <v>0</v>
      </c>
      <c r="I57" s="68">
        <f>'Proj Dev'!P55</f>
        <v>0</v>
      </c>
      <c r="J57" s="68">
        <f>Fundraising!P56</f>
        <v>500</v>
      </c>
      <c r="K57" s="68">
        <f>Comms!P56</f>
        <v>500</v>
      </c>
      <c r="L57" s="68">
        <f>Admin_Total!P56</f>
        <v>3430.0000000000005</v>
      </c>
      <c r="M57" s="68">
        <f t="shared" si="10"/>
        <v>7880</v>
      </c>
      <c r="N57" s="68" t="s">
        <v>220</v>
      </c>
      <c r="P57" s="68">
        <v>11780</v>
      </c>
      <c r="R57" s="43">
        <v>11508</v>
      </c>
    </row>
    <row r="58" spans="1:18" x14ac:dyDescent="0.3">
      <c r="A58" s="66"/>
      <c r="B58" s="67" t="s">
        <v>44</v>
      </c>
      <c r="C58" s="68"/>
      <c r="D58" s="68"/>
      <c r="E58" s="68"/>
      <c r="F58" s="68">
        <f>'Support Housing'!P57</f>
        <v>5100</v>
      </c>
      <c r="G58" s="68">
        <f>'FC TOTAL'!P57</f>
        <v>1800</v>
      </c>
      <c r="H58" s="68">
        <f>'SS Total'!P58</f>
        <v>0</v>
      </c>
      <c r="I58" s="68">
        <f>'Proj Dev'!P56</f>
        <v>0</v>
      </c>
      <c r="J58" s="68">
        <f>Fundraising!P57</f>
        <v>1500</v>
      </c>
      <c r="K58" s="68">
        <f>Comms!P57</f>
        <v>0</v>
      </c>
      <c r="L58" s="68">
        <f>Admin_Total!P57</f>
        <v>7200</v>
      </c>
      <c r="M58" s="69">
        <f t="shared" si="10"/>
        <v>15600</v>
      </c>
      <c r="N58" s="68" t="s">
        <v>220</v>
      </c>
      <c r="O58" s="121"/>
      <c r="P58" s="69">
        <v>17400</v>
      </c>
      <c r="R58" s="43">
        <v>13596</v>
      </c>
    </row>
    <row r="59" spans="1:18" x14ac:dyDescent="0.3">
      <c r="A59" s="66"/>
      <c r="B59" s="67" t="s">
        <v>45</v>
      </c>
      <c r="C59" s="68"/>
      <c r="D59" s="68"/>
      <c r="E59" s="68"/>
      <c r="F59" s="68">
        <f>'Support Housing'!P58</f>
        <v>2400</v>
      </c>
      <c r="G59" s="68">
        <f>'FC TOTAL'!P58</f>
        <v>900</v>
      </c>
      <c r="H59" s="68">
        <f>'SS Total'!P59</f>
        <v>0</v>
      </c>
      <c r="I59" s="68">
        <f>'Proj Dev'!P57</f>
        <v>0</v>
      </c>
      <c r="J59" s="69">
        <f>Fundraising!P58</f>
        <v>3499.9999999999995</v>
      </c>
      <c r="K59" s="69">
        <f>Comms!P58</f>
        <v>99.96</v>
      </c>
      <c r="L59" s="68">
        <f>Admin_Total!P58</f>
        <v>1200</v>
      </c>
      <c r="M59" s="68">
        <f t="shared" si="10"/>
        <v>8099.96</v>
      </c>
      <c r="N59" s="69" t="s">
        <v>220</v>
      </c>
      <c r="P59" s="68">
        <v>12200</v>
      </c>
      <c r="R59" s="43">
        <v>4854</v>
      </c>
    </row>
    <row r="60" spans="1:18" x14ac:dyDescent="0.3">
      <c r="A60" s="66"/>
      <c r="B60" s="67" t="s">
        <v>46</v>
      </c>
      <c r="C60" s="68"/>
      <c r="D60" s="68"/>
      <c r="E60" s="68"/>
      <c r="F60" s="68">
        <f>'Support Housing'!P59</f>
        <v>0</v>
      </c>
      <c r="G60" s="68">
        <f>'FC TOTAL'!P59</f>
        <v>0</v>
      </c>
      <c r="H60" s="68">
        <f>'SS Total'!P60</f>
        <v>0</v>
      </c>
      <c r="I60" s="68">
        <f>'Proj Dev'!P58</f>
        <v>0</v>
      </c>
      <c r="J60" s="68">
        <f>Fundraising!P59</f>
        <v>1000</v>
      </c>
      <c r="K60" s="68">
        <f>Comms!P59</f>
        <v>2200</v>
      </c>
      <c r="L60" s="68">
        <f>Admin_Total!P59</f>
        <v>1500</v>
      </c>
      <c r="M60" s="68">
        <f t="shared" si="10"/>
        <v>4700</v>
      </c>
      <c r="N60" s="68" t="s">
        <v>220</v>
      </c>
      <c r="P60" s="68">
        <v>5300</v>
      </c>
      <c r="R60" s="43">
        <v>2936</v>
      </c>
    </row>
    <row r="61" spans="1:18" x14ac:dyDescent="0.3">
      <c r="A61" s="66"/>
      <c r="B61" s="67" t="s">
        <v>47</v>
      </c>
      <c r="C61" s="68"/>
      <c r="D61" s="68"/>
      <c r="E61" s="68"/>
      <c r="F61" s="68">
        <f>'Support Housing'!P60</f>
        <v>0</v>
      </c>
      <c r="G61" s="68">
        <f>'FC TOTAL'!P60</f>
        <v>0</v>
      </c>
      <c r="H61" s="68">
        <f>'SS Total'!P61</f>
        <v>0</v>
      </c>
      <c r="I61" s="68">
        <f>'Proj Dev'!P59</f>
        <v>0</v>
      </c>
      <c r="J61" s="68">
        <f>Fundraising!P60</f>
        <v>0</v>
      </c>
      <c r="K61" s="68">
        <f>Comms!P60</f>
        <v>250</v>
      </c>
      <c r="L61" s="68">
        <f>Admin_Total!P60</f>
        <v>0</v>
      </c>
      <c r="M61" s="68">
        <f t="shared" si="10"/>
        <v>250</v>
      </c>
      <c r="N61" s="68" t="s">
        <v>220</v>
      </c>
      <c r="P61" s="68">
        <v>250.00000000000003</v>
      </c>
      <c r="R61" s="43">
        <v>52</v>
      </c>
    </row>
    <row r="62" spans="1:18" x14ac:dyDescent="0.3">
      <c r="A62" s="66"/>
      <c r="B62" s="67" t="s">
        <v>48</v>
      </c>
      <c r="C62" s="68"/>
      <c r="D62" s="68"/>
      <c r="E62" s="68"/>
      <c r="F62" s="68">
        <f>'Support Housing'!P61</f>
        <v>0</v>
      </c>
      <c r="G62" s="68">
        <f>'FC TOTAL'!P61</f>
        <v>0</v>
      </c>
      <c r="H62" s="68">
        <f>'SS Total'!P62</f>
        <v>0</v>
      </c>
      <c r="I62" s="68">
        <f>'Proj Dev'!P60</f>
        <v>0</v>
      </c>
      <c r="J62" s="68">
        <f>Fundraising!P61</f>
        <v>2500</v>
      </c>
      <c r="K62" s="68">
        <f>Comms!P61</f>
        <v>4000</v>
      </c>
      <c r="L62" s="68">
        <f>Admin_Total!P61</f>
        <v>0</v>
      </c>
      <c r="M62" s="69">
        <f t="shared" si="10"/>
        <v>6500</v>
      </c>
      <c r="N62" s="69" t="s">
        <v>220</v>
      </c>
      <c r="P62" s="69">
        <v>6350</v>
      </c>
      <c r="R62" s="43">
        <v>1879</v>
      </c>
    </row>
    <row r="63" spans="1:18" hidden="1" x14ac:dyDescent="0.3">
      <c r="A63" s="66"/>
      <c r="B63" s="67" t="s">
        <v>49</v>
      </c>
      <c r="C63" s="68"/>
      <c r="D63" s="68"/>
      <c r="E63" s="68"/>
      <c r="F63" s="68">
        <f>'Support Housing'!P62</f>
        <v>0</v>
      </c>
      <c r="G63" s="68">
        <f>'FC TOTAL'!P62</f>
        <v>0</v>
      </c>
      <c r="H63" s="68">
        <f>'SS Total'!P63</f>
        <v>0</v>
      </c>
      <c r="I63" s="68">
        <f>'Proj Dev'!P61</f>
        <v>0</v>
      </c>
      <c r="J63" s="68">
        <f>Fundraising!P63</f>
        <v>0</v>
      </c>
      <c r="K63" s="68">
        <f>Comms!P62</f>
        <v>0</v>
      </c>
      <c r="L63" s="68">
        <f>Admin_Total!P62</f>
        <v>0</v>
      </c>
      <c r="M63" s="68">
        <f t="shared" si="10"/>
        <v>0</v>
      </c>
      <c r="N63" s="68"/>
      <c r="P63" s="68">
        <v>0</v>
      </c>
      <c r="R63" s="43">
        <v>145</v>
      </c>
    </row>
    <row r="64" spans="1:18" x14ac:dyDescent="0.3">
      <c r="A64" s="66"/>
      <c r="B64" s="67" t="s">
        <v>50</v>
      </c>
      <c r="C64" s="68"/>
      <c r="D64" s="68"/>
      <c r="E64" s="68"/>
      <c r="F64" s="68">
        <f>'Support Housing'!P63</f>
        <v>0</v>
      </c>
      <c r="G64" s="68">
        <f>'FC TOTAL'!P63</f>
        <v>0</v>
      </c>
      <c r="H64" s="68">
        <f>'SS Total'!P64</f>
        <v>0</v>
      </c>
      <c r="I64" s="68">
        <f>'Proj Dev'!P62</f>
        <v>0</v>
      </c>
      <c r="J64" s="68">
        <f>Fundraising!P63</f>
        <v>0</v>
      </c>
      <c r="K64" s="68">
        <f>Comms!P63</f>
        <v>0</v>
      </c>
      <c r="L64" s="68">
        <f>Admin_Total!P63</f>
        <v>0</v>
      </c>
      <c r="M64" s="68">
        <f t="shared" si="10"/>
        <v>0</v>
      </c>
      <c r="N64" s="69" t="s">
        <v>220</v>
      </c>
      <c r="P64" s="68">
        <v>4500.0000000000009</v>
      </c>
      <c r="R64" s="43">
        <v>1989</v>
      </c>
    </row>
    <row r="65" spans="1:18" hidden="1" x14ac:dyDescent="0.3">
      <c r="A65" s="66"/>
      <c r="B65" s="67" t="s">
        <v>51</v>
      </c>
      <c r="C65" s="68"/>
      <c r="D65" s="68"/>
      <c r="E65" s="68"/>
      <c r="F65" s="68">
        <f>'Support Housing'!P64</f>
        <v>0</v>
      </c>
      <c r="G65" s="68">
        <f>'FC TOTAL'!P64</f>
        <v>0</v>
      </c>
      <c r="H65" s="68">
        <f>'SS Total'!P65</f>
        <v>0</v>
      </c>
      <c r="I65" s="68">
        <f>'Proj Dev'!P63</f>
        <v>0</v>
      </c>
      <c r="J65" s="68">
        <f>Fundraising!P64</f>
        <v>0</v>
      </c>
      <c r="K65" s="68">
        <f>Comms!P64</f>
        <v>0</v>
      </c>
      <c r="L65" s="68">
        <f>Admin_Total!P64</f>
        <v>0</v>
      </c>
      <c r="M65" s="68">
        <f t="shared" si="10"/>
        <v>0</v>
      </c>
      <c r="N65" s="68"/>
      <c r="P65" s="68">
        <v>0</v>
      </c>
      <c r="R65" s="43">
        <v>575</v>
      </c>
    </row>
    <row r="66" spans="1:18" x14ac:dyDescent="0.3">
      <c r="A66" s="66"/>
      <c r="B66" s="67" t="s">
        <v>52</v>
      </c>
      <c r="C66" s="68"/>
      <c r="D66" s="68"/>
      <c r="E66" s="68"/>
      <c r="F66" s="68">
        <f>'Support Housing'!P65</f>
        <v>0</v>
      </c>
      <c r="G66" s="68">
        <f>'FC TOTAL'!P65</f>
        <v>0</v>
      </c>
      <c r="H66" s="68">
        <f>'SS Total'!P66</f>
        <v>0</v>
      </c>
      <c r="I66" s="68">
        <f>'Proj Dev'!P64</f>
        <v>0</v>
      </c>
      <c r="J66" s="68">
        <f>Fundraising!P65</f>
        <v>0</v>
      </c>
      <c r="K66" s="68">
        <f>Comms!P65</f>
        <v>0</v>
      </c>
      <c r="L66" s="68">
        <f>Admin_Total!P65</f>
        <v>0</v>
      </c>
      <c r="M66" s="68">
        <f t="shared" si="10"/>
        <v>0</v>
      </c>
      <c r="P66" s="68">
        <v>6840</v>
      </c>
      <c r="R66" s="43">
        <v>6100</v>
      </c>
    </row>
    <row r="67" spans="1:18" x14ac:dyDescent="0.3">
      <c r="A67" s="66"/>
      <c r="B67" s="67" t="s">
        <v>53</v>
      </c>
      <c r="C67" s="68"/>
      <c r="D67" s="68"/>
      <c r="E67" s="68"/>
      <c r="F67" s="68">
        <f>'Support Housing'!P66</f>
        <v>4380</v>
      </c>
      <c r="G67" s="68">
        <f>'FC TOTAL'!P66</f>
        <v>900</v>
      </c>
      <c r="H67" s="68">
        <f>'SS Total'!P67</f>
        <v>1140</v>
      </c>
      <c r="I67" s="68">
        <f>'Proj Dev'!P65</f>
        <v>0</v>
      </c>
      <c r="J67" s="68">
        <f>Fundraising!P66</f>
        <v>1000</v>
      </c>
      <c r="K67" s="68">
        <f>Comms!P66</f>
        <v>0</v>
      </c>
      <c r="L67" s="68">
        <f>Admin_Total!P66</f>
        <v>1200</v>
      </c>
      <c r="M67" s="68">
        <f t="shared" si="10"/>
        <v>8620</v>
      </c>
      <c r="N67" s="69" t="s">
        <v>220</v>
      </c>
      <c r="P67" s="68">
        <v>8980</v>
      </c>
      <c r="R67" s="43">
        <v>5069</v>
      </c>
    </row>
    <row r="68" spans="1:18" x14ac:dyDescent="0.3">
      <c r="A68" s="66"/>
      <c r="B68" s="67" t="s">
        <v>54</v>
      </c>
      <c r="C68" s="68"/>
      <c r="D68" s="68"/>
      <c r="E68" s="68"/>
      <c r="F68" s="68">
        <f>'Support Housing'!P67</f>
        <v>7460</v>
      </c>
      <c r="G68" s="68">
        <f>'FC TOTAL'!P67</f>
        <v>0</v>
      </c>
      <c r="H68" s="68">
        <f>'SS Total'!P68</f>
        <v>0</v>
      </c>
      <c r="I68" s="68">
        <f>'Proj Dev'!P66</f>
        <v>0</v>
      </c>
      <c r="J68" s="68">
        <f>Fundraising!P67</f>
        <v>0</v>
      </c>
      <c r="K68" s="68">
        <f>Comms!P67</f>
        <v>0</v>
      </c>
      <c r="L68" s="68">
        <f>Admin_Total!P67</f>
        <v>5200</v>
      </c>
      <c r="M68" s="68">
        <f t="shared" si="10"/>
        <v>12660</v>
      </c>
      <c r="N68" s="68" t="s">
        <v>220</v>
      </c>
      <c r="P68" s="68">
        <v>11380</v>
      </c>
      <c r="R68" s="43">
        <v>9460</v>
      </c>
    </row>
    <row r="69" spans="1:18" x14ac:dyDescent="0.3">
      <c r="A69" s="66"/>
      <c r="B69" s="67" t="s">
        <v>55</v>
      </c>
      <c r="C69" s="68"/>
      <c r="D69" s="68"/>
      <c r="E69" s="68"/>
      <c r="F69" s="68">
        <f>'Support Housing'!P68</f>
        <v>0</v>
      </c>
      <c r="G69" s="68">
        <f>'FC TOTAL'!P68</f>
        <v>0</v>
      </c>
      <c r="H69" s="68">
        <f>'SS Total'!P69</f>
        <v>0</v>
      </c>
      <c r="I69" s="68">
        <f>'Proj Dev'!P67</f>
        <v>0</v>
      </c>
      <c r="J69" s="68">
        <f>Fundraising!P68</f>
        <v>0</v>
      </c>
      <c r="K69" s="68">
        <f>Comms!P68</f>
        <v>0</v>
      </c>
      <c r="L69" s="68">
        <f>Admin_Total!P68</f>
        <v>78000</v>
      </c>
      <c r="M69" s="68">
        <f t="shared" si="10"/>
        <v>78000</v>
      </c>
      <c r="N69" s="68" t="s">
        <v>220</v>
      </c>
      <c r="P69" s="68">
        <v>90000</v>
      </c>
      <c r="R69" s="43">
        <v>63177</v>
      </c>
    </row>
    <row r="70" spans="1:18" x14ac:dyDescent="0.3">
      <c r="A70" s="66"/>
      <c r="B70" s="67" t="s">
        <v>56</v>
      </c>
      <c r="C70" s="68"/>
      <c r="D70" s="68"/>
      <c r="E70" s="68"/>
      <c r="F70" s="68">
        <f>'Support Housing'!P69</f>
        <v>0</v>
      </c>
      <c r="G70" s="68">
        <f>'FC TOTAL'!P69</f>
        <v>0</v>
      </c>
      <c r="H70" s="68">
        <f>'SS Total'!P69</f>
        <v>0</v>
      </c>
      <c r="I70" s="68">
        <f>'Proj Dev'!P68</f>
        <v>0</v>
      </c>
      <c r="J70" s="68">
        <f>Fundraising!P69</f>
        <v>2824</v>
      </c>
      <c r="K70" s="68">
        <f>Comms!P69</f>
        <v>0</v>
      </c>
      <c r="L70" s="68">
        <f>Admin_Total!P69</f>
        <v>35380</v>
      </c>
      <c r="M70" s="69">
        <f t="shared" si="10"/>
        <v>38204</v>
      </c>
      <c r="N70" s="69" t="s">
        <v>220</v>
      </c>
      <c r="P70" s="69">
        <v>45500</v>
      </c>
      <c r="R70" s="43">
        <v>32146</v>
      </c>
    </row>
    <row r="71" spans="1:18" x14ac:dyDescent="0.3">
      <c r="A71" s="66"/>
      <c r="B71" s="67" t="s">
        <v>57</v>
      </c>
      <c r="C71" s="68"/>
      <c r="D71" s="68"/>
      <c r="E71" s="68"/>
      <c r="F71" s="68">
        <f>'Support Housing'!P70</f>
        <v>10182</v>
      </c>
      <c r="G71" s="68">
        <f>'FC TOTAL'!P70</f>
        <v>1656</v>
      </c>
      <c r="H71" s="68">
        <f>'SS Total'!P70</f>
        <v>3360</v>
      </c>
      <c r="I71" s="68">
        <f>'Proj Dev'!P69</f>
        <v>0</v>
      </c>
      <c r="J71" s="68">
        <f>Fundraising!P70</f>
        <v>1000</v>
      </c>
      <c r="K71" s="68">
        <f>Comms!P70</f>
        <v>1200</v>
      </c>
      <c r="L71" s="68">
        <f>Admin_Total!P70</f>
        <v>0</v>
      </c>
      <c r="M71" s="68">
        <f t="shared" si="10"/>
        <v>17398</v>
      </c>
      <c r="N71" s="69" t="s">
        <v>220</v>
      </c>
      <c r="P71" s="68">
        <v>15600</v>
      </c>
      <c r="R71" s="43">
        <v>12171</v>
      </c>
    </row>
    <row r="72" spans="1:18" x14ac:dyDescent="0.3">
      <c r="A72" s="66"/>
      <c r="B72" s="67" t="s">
        <v>58</v>
      </c>
      <c r="C72" s="68"/>
      <c r="D72" s="68"/>
      <c r="E72" s="68"/>
      <c r="F72" s="68">
        <f>'Support Housing'!P71</f>
        <v>0</v>
      </c>
      <c r="G72" s="68">
        <f>'FC TOTAL'!P71</f>
        <v>0</v>
      </c>
      <c r="H72" s="68">
        <f>'SS Total'!P72</f>
        <v>0</v>
      </c>
      <c r="I72" s="68">
        <f>'Proj Dev'!P70</f>
        <v>0</v>
      </c>
      <c r="J72" s="68">
        <f>Fundraising!P71</f>
        <v>0</v>
      </c>
      <c r="K72" s="68">
        <f>Comms!P71</f>
        <v>0</v>
      </c>
      <c r="L72" s="68">
        <f>Admin_Total!P71</f>
        <v>15000</v>
      </c>
      <c r="M72" s="69">
        <f t="shared" si="10"/>
        <v>15000</v>
      </c>
      <c r="N72" s="69" t="s">
        <v>220</v>
      </c>
      <c r="P72" s="69">
        <v>15000</v>
      </c>
      <c r="R72" s="43">
        <v>15000</v>
      </c>
    </row>
    <row r="73" spans="1:18" x14ac:dyDescent="0.3">
      <c r="A73" s="66"/>
      <c r="B73" s="67" t="s">
        <v>59</v>
      </c>
      <c r="C73" s="68"/>
      <c r="D73" s="68"/>
      <c r="E73" s="68"/>
      <c r="F73" s="68">
        <f>'Support Housing'!P72</f>
        <v>0</v>
      </c>
      <c r="G73" s="68">
        <f>'FC TOTAL'!P72</f>
        <v>0</v>
      </c>
      <c r="H73" s="68">
        <f>'SS Total'!P73</f>
        <v>0</v>
      </c>
      <c r="I73" s="68">
        <f>'Proj Dev'!P71</f>
        <v>0</v>
      </c>
      <c r="J73" s="68">
        <f>Fundraising!P72</f>
        <v>0</v>
      </c>
      <c r="K73" s="68">
        <f>Comms!P72</f>
        <v>0</v>
      </c>
      <c r="L73" s="68">
        <f>Admin_Total!P72</f>
        <v>0</v>
      </c>
      <c r="M73" s="68">
        <f t="shared" si="10"/>
        <v>0</v>
      </c>
      <c r="N73" s="68"/>
      <c r="P73" s="68">
        <v>0</v>
      </c>
    </row>
    <row r="74" spans="1:18" x14ac:dyDescent="0.3">
      <c r="A74" s="66"/>
      <c r="B74" s="67" t="s">
        <v>60</v>
      </c>
      <c r="C74" s="68"/>
      <c r="D74" s="68"/>
      <c r="E74" s="68"/>
      <c r="F74" s="68">
        <f>'Support Housing'!P73</f>
        <v>0</v>
      </c>
      <c r="G74" s="68">
        <f>'FC TOTAL'!P73</f>
        <v>0</v>
      </c>
      <c r="H74" s="68">
        <f>'SS Total'!P74</f>
        <v>0</v>
      </c>
      <c r="I74" s="68">
        <f>'Proj Dev'!P72</f>
        <v>0</v>
      </c>
      <c r="J74" s="68">
        <f>Fundraising!P73</f>
        <v>0</v>
      </c>
      <c r="K74" s="68">
        <f>Comms!P73</f>
        <v>0</v>
      </c>
      <c r="L74" s="68">
        <f>Admin_Total!P73</f>
        <v>0</v>
      </c>
      <c r="M74" s="68">
        <f t="shared" si="10"/>
        <v>0</v>
      </c>
      <c r="N74" s="68"/>
      <c r="P74" s="68">
        <v>0</v>
      </c>
    </row>
    <row r="75" spans="1:18" x14ac:dyDescent="0.3">
      <c r="A75" s="66"/>
      <c r="B75" s="67" t="s">
        <v>61</v>
      </c>
      <c r="C75" s="68"/>
      <c r="D75" s="68"/>
      <c r="E75" s="68"/>
      <c r="F75" s="68">
        <f>'Support Housing'!P74</f>
        <v>0</v>
      </c>
      <c r="G75" s="68">
        <f>'FC TOTAL'!P74</f>
        <v>0</v>
      </c>
      <c r="H75" s="68">
        <f>'SS Total'!P75</f>
        <v>0</v>
      </c>
      <c r="I75" s="68">
        <f>'Proj Dev'!P73</f>
        <v>0</v>
      </c>
      <c r="J75" s="68">
        <f>Fundraising!P74</f>
        <v>0</v>
      </c>
      <c r="K75" s="68">
        <f>Comms!P74</f>
        <v>36000</v>
      </c>
      <c r="L75" s="68">
        <f>Admin_Total!P74</f>
        <v>25675</v>
      </c>
      <c r="M75" s="69">
        <f t="shared" si="10"/>
        <v>61675</v>
      </c>
      <c r="N75" s="69" t="s">
        <v>220</v>
      </c>
      <c r="P75" s="69">
        <v>37425</v>
      </c>
      <c r="R75" s="43">
        <v>30271</v>
      </c>
    </row>
    <row r="76" spans="1:18" x14ac:dyDescent="0.3">
      <c r="A76" s="66"/>
      <c r="B76" s="67" t="s">
        <v>62</v>
      </c>
      <c r="C76" s="68"/>
      <c r="D76" s="68"/>
      <c r="E76" s="68"/>
      <c r="F76" s="68">
        <f>'Support Housing'!P75</f>
        <v>5280</v>
      </c>
      <c r="G76" s="68">
        <f>'FC TOTAL'!P75</f>
        <v>4125</v>
      </c>
      <c r="H76" s="68">
        <f>'SS Total'!P75</f>
        <v>0</v>
      </c>
      <c r="I76" s="68">
        <f>'Proj Dev'!P74</f>
        <v>0</v>
      </c>
      <c r="J76" s="68">
        <f>Fundraising!P75</f>
        <v>0</v>
      </c>
      <c r="K76" s="68">
        <f>Comms!P75</f>
        <v>0</v>
      </c>
      <c r="L76" s="68">
        <f>Admin_Total!P75</f>
        <v>0</v>
      </c>
      <c r="M76" s="69">
        <f t="shared" si="10"/>
        <v>9405</v>
      </c>
      <c r="N76" s="69" t="s">
        <v>220</v>
      </c>
      <c r="P76" s="69">
        <v>16120</v>
      </c>
      <c r="R76" s="115">
        <v>10774</v>
      </c>
    </row>
    <row r="77" spans="1:18" x14ac:dyDescent="0.3">
      <c r="A77" s="66"/>
      <c r="B77" s="67" t="s">
        <v>63</v>
      </c>
      <c r="C77" s="68"/>
      <c r="D77" s="68"/>
      <c r="E77" s="68"/>
      <c r="F77" s="68">
        <f>'Support Housing'!P76</f>
        <v>0</v>
      </c>
      <c r="G77" s="68">
        <f>'FC TOTAL'!P76</f>
        <v>0</v>
      </c>
      <c r="H77" s="68">
        <f>'SS Total'!P77</f>
        <v>0</v>
      </c>
      <c r="I77" s="68">
        <f>'Proj Dev'!P75</f>
        <v>0</v>
      </c>
      <c r="J77" s="68">
        <f>Fundraising!P76</f>
        <v>4800</v>
      </c>
      <c r="K77" s="68">
        <f>Comms!P76</f>
        <v>0</v>
      </c>
      <c r="L77" s="68">
        <f>Admin_Total!P76</f>
        <v>3600</v>
      </c>
      <c r="M77" s="68">
        <f t="shared" si="10"/>
        <v>8400</v>
      </c>
      <c r="N77" s="69" t="s">
        <v>220</v>
      </c>
      <c r="P77" s="68">
        <v>5100</v>
      </c>
      <c r="R77" s="115">
        <v>3961</v>
      </c>
    </row>
    <row r="78" spans="1:18" x14ac:dyDescent="0.3">
      <c r="A78" s="67" t="s">
        <v>17</v>
      </c>
      <c r="B78" s="67" t="s">
        <v>64</v>
      </c>
      <c r="C78" s="68"/>
      <c r="D78" s="68"/>
      <c r="E78" s="68"/>
      <c r="F78" s="68">
        <f>'Support Housing'!P77</f>
        <v>0</v>
      </c>
      <c r="G78" s="68">
        <f>'FC TOTAL'!P77</f>
        <v>0</v>
      </c>
      <c r="H78" s="68">
        <f>'SS Total'!P78</f>
        <v>0</v>
      </c>
      <c r="I78" s="68">
        <f>'Proj Dev'!P76</f>
        <v>0</v>
      </c>
      <c r="J78" s="68">
        <f>Fundraising!P77</f>
        <v>0</v>
      </c>
      <c r="K78" s="68">
        <f>Comms!P77</f>
        <v>0</v>
      </c>
      <c r="L78" s="68">
        <f>Admin_Total!P77</f>
        <v>0</v>
      </c>
      <c r="M78" s="68">
        <f t="shared" si="10"/>
        <v>0</v>
      </c>
      <c r="N78" s="68"/>
      <c r="P78" s="68">
        <v>0</v>
      </c>
    </row>
    <row r="79" spans="1:18" x14ac:dyDescent="0.3">
      <c r="A79" s="66"/>
      <c r="B79" s="67" t="s">
        <v>65</v>
      </c>
      <c r="C79" s="68"/>
      <c r="D79" s="68"/>
      <c r="E79" s="68"/>
      <c r="F79" s="68">
        <f>'Support Housing'!P78</f>
        <v>0</v>
      </c>
      <c r="G79" s="68">
        <f>'FC TOTAL'!P78</f>
        <v>0</v>
      </c>
      <c r="H79" s="68">
        <f>'SS Total'!P79</f>
        <v>0</v>
      </c>
      <c r="I79" s="68">
        <f>'Proj Dev'!P77</f>
        <v>0</v>
      </c>
      <c r="J79" s="68">
        <f>Fundraising!P78</f>
        <v>0</v>
      </c>
      <c r="K79" s="68">
        <f>Comms!P78</f>
        <v>500</v>
      </c>
      <c r="L79" s="68">
        <f>Admin_Total!P78</f>
        <v>600</v>
      </c>
      <c r="M79" s="68">
        <f t="shared" si="10"/>
        <v>1100</v>
      </c>
      <c r="N79" s="68"/>
      <c r="P79" s="68">
        <v>4100</v>
      </c>
      <c r="R79" s="116">
        <v>1304</v>
      </c>
    </row>
    <row r="80" spans="1:18" hidden="1" x14ac:dyDescent="0.3">
      <c r="A80" s="66"/>
      <c r="B80" s="66"/>
      <c r="C80" s="68"/>
      <c r="D80" s="68"/>
      <c r="E80" s="68"/>
      <c r="F80" s="68">
        <f>'Support Housing'!P79</f>
        <v>0</v>
      </c>
      <c r="G80" s="68">
        <f>'FC TOTAL'!P79</f>
        <v>0</v>
      </c>
      <c r="H80" s="68">
        <f>'SS Total'!P80</f>
        <v>0</v>
      </c>
      <c r="I80" s="68">
        <f>'Proj Dev'!P78</f>
        <v>0</v>
      </c>
      <c r="J80" s="68">
        <f>Fundraising!P79</f>
        <v>0</v>
      </c>
      <c r="K80" s="68">
        <f>Comms!P79</f>
        <v>0</v>
      </c>
      <c r="L80" s="68">
        <f>Admin_Total!P79</f>
        <v>0</v>
      </c>
      <c r="M80" s="68">
        <f t="shared" si="10"/>
        <v>0</v>
      </c>
      <c r="N80" s="68"/>
      <c r="P80" s="68">
        <v>0</v>
      </c>
      <c r="R80" s="43">
        <v>10774</v>
      </c>
    </row>
    <row r="81" spans="1:18" hidden="1" x14ac:dyDescent="0.3">
      <c r="A81" s="66"/>
      <c r="B81" s="67"/>
      <c r="C81" s="68"/>
      <c r="D81" s="68"/>
      <c r="E81" s="68"/>
      <c r="F81" s="68">
        <f>'Support Housing'!P80</f>
        <v>0</v>
      </c>
      <c r="G81" s="68">
        <f>'FC TOTAL'!P80</f>
        <v>0</v>
      </c>
      <c r="H81" s="68">
        <f>'SS Total'!P81</f>
        <v>0</v>
      </c>
      <c r="I81" s="68">
        <f>'Proj Dev'!P79</f>
        <v>0</v>
      </c>
      <c r="J81" s="68">
        <f>Fundraising!P80</f>
        <v>0</v>
      </c>
      <c r="K81" s="68">
        <f>Comms!P80</f>
        <v>0</v>
      </c>
      <c r="L81" s="68">
        <f>Admin_Total!P80</f>
        <v>0</v>
      </c>
      <c r="M81" s="68">
        <f t="shared" si="10"/>
        <v>0</v>
      </c>
      <c r="N81" s="68"/>
      <c r="P81" s="68">
        <v>0</v>
      </c>
      <c r="R81" s="43">
        <v>3961</v>
      </c>
    </row>
    <row r="82" spans="1:18" hidden="1" x14ac:dyDescent="0.3">
      <c r="A82" s="66"/>
      <c r="B82" s="67"/>
      <c r="C82" s="68"/>
      <c r="D82" s="68"/>
      <c r="E82" s="68"/>
      <c r="F82" s="68">
        <f>'Support Housing'!P81</f>
        <v>0</v>
      </c>
      <c r="G82" s="68">
        <f>'FC TOTAL'!P81</f>
        <v>0</v>
      </c>
      <c r="H82" s="68">
        <f>'SS Total'!P82</f>
        <v>0</v>
      </c>
      <c r="I82" s="68">
        <f>'Proj Dev'!P80</f>
        <v>0</v>
      </c>
      <c r="J82" s="68">
        <f>Fundraising!P81</f>
        <v>0</v>
      </c>
      <c r="K82" s="68">
        <f>Comms!P81</f>
        <v>0</v>
      </c>
      <c r="L82" s="68">
        <f>Admin_Total!P81</f>
        <v>0</v>
      </c>
      <c r="M82" s="68">
        <f t="shared" si="10"/>
        <v>0</v>
      </c>
      <c r="N82" s="68"/>
      <c r="P82" s="68">
        <v>0</v>
      </c>
      <c r="R82" s="43">
        <v>1304</v>
      </c>
    </row>
    <row r="83" spans="1:18" hidden="1" x14ac:dyDescent="0.3">
      <c r="A83" s="66"/>
      <c r="B83" s="67"/>
      <c r="C83" s="68"/>
      <c r="D83" s="68"/>
      <c r="E83" s="68"/>
      <c r="F83" s="68">
        <f>'Support Housing'!P82</f>
        <v>0</v>
      </c>
      <c r="G83" s="68">
        <f>'FC TOTAL'!P82</f>
        <v>0</v>
      </c>
      <c r="H83" s="68">
        <f>'SS Total'!P83</f>
        <v>0</v>
      </c>
      <c r="I83" s="68">
        <f>'Proj Dev'!P81</f>
        <v>0</v>
      </c>
      <c r="J83" s="68">
        <f>Fundraising!P82</f>
        <v>0</v>
      </c>
      <c r="K83" s="68">
        <f>Comms!P82</f>
        <v>0</v>
      </c>
      <c r="L83" s="68">
        <f>Admin_Total!P82</f>
        <v>0</v>
      </c>
      <c r="M83" s="68">
        <f t="shared" si="10"/>
        <v>0</v>
      </c>
      <c r="N83" s="68"/>
      <c r="P83" s="68">
        <v>0</v>
      </c>
      <c r="R83" s="43">
        <v>267038</v>
      </c>
    </row>
    <row r="84" spans="1:18" hidden="1" x14ac:dyDescent="0.3">
      <c r="A84" s="66"/>
      <c r="B84" s="67"/>
      <c r="C84" s="68"/>
      <c r="D84" s="68"/>
      <c r="E84" s="68"/>
      <c r="F84" s="68">
        <f>'Support Housing'!P83</f>
        <v>0</v>
      </c>
      <c r="G84" s="68">
        <f>'FC TOTAL'!P83</f>
        <v>0</v>
      </c>
      <c r="H84" s="68">
        <f>'SS Total'!P84</f>
        <v>0</v>
      </c>
      <c r="I84" s="68">
        <f>'Proj Dev'!P82</f>
        <v>0</v>
      </c>
      <c r="J84" s="68">
        <f>Fundraising!P83</f>
        <v>0</v>
      </c>
      <c r="K84" s="68">
        <f>Comms!P83</f>
        <v>0</v>
      </c>
      <c r="L84" s="68">
        <f>Admin_Total!P83</f>
        <v>0</v>
      </c>
      <c r="M84" s="68">
        <f t="shared" si="10"/>
        <v>0</v>
      </c>
      <c r="N84" s="68"/>
      <c r="P84" s="68">
        <v>0</v>
      </c>
    </row>
    <row r="85" spans="1:18" s="62" customFormat="1" x14ac:dyDescent="0.3">
      <c r="A85" s="193" t="s">
        <v>66</v>
      </c>
      <c r="B85" s="193"/>
      <c r="C85" s="44"/>
      <c r="D85" s="44"/>
      <c r="E85" s="44"/>
      <c r="F85" s="76">
        <f>SUM(F56:F84)</f>
        <v>37502</v>
      </c>
      <c r="G85" s="76">
        <f t="shared" ref="G85:M85" si="11">SUM(G56:G84)</f>
        <v>10131</v>
      </c>
      <c r="H85" s="76">
        <f t="shared" si="11"/>
        <v>4500</v>
      </c>
      <c r="I85" s="76">
        <f t="shared" si="11"/>
        <v>0</v>
      </c>
      <c r="J85" s="76">
        <f t="shared" si="11"/>
        <v>71124</v>
      </c>
      <c r="K85" s="76">
        <f t="shared" si="11"/>
        <v>46749.96</v>
      </c>
      <c r="L85" s="76">
        <f t="shared" si="11"/>
        <v>177985</v>
      </c>
      <c r="M85" s="76">
        <f t="shared" si="11"/>
        <v>347991.96</v>
      </c>
      <c r="N85" s="74"/>
      <c r="O85" s="75"/>
      <c r="P85" s="76">
        <v>366825</v>
      </c>
      <c r="R85" s="44">
        <f>SUM(R56:R79)</f>
        <v>267036</v>
      </c>
    </row>
    <row r="86" spans="1:18" x14ac:dyDescent="0.3">
      <c r="A86" s="193" t="s">
        <v>67</v>
      </c>
      <c r="B86" s="193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</row>
    <row r="87" spans="1:18" x14ac:dyDescent="0.3">
      <c r="A87" s="66"/>
      <c r="B87" s="67" t="s">
        <v>68</v>
      </c>
      <c r="C87" s="68"/>
      <c r="D87" s="68"/>
      <c r="E87" s="68"/>
      <c r="F87" s="68">
        <f>'Support Housing'!P86</f>
        <v>0</v>
      </c>
      <c r="G87" s="68">
        <f>'FC TOTAL'!P86</f>
        <v>11875</v>
      </c>
      <c r="H87" s="68">
        <f>'SS Total'!P87</f>
        <v>0</v>
      </c>
      <c r="I87" s="68">
        <f>'Proj Dev'!P85</f>
        <v>0</v>
      </c>
      <c r="J87" s="68">
        <f>Fundraising!P86</f>
        <v>0</v>
      </c>
      <c r="K87" s="68">
        <f>Comms!P86</f>
        <v>0</v>
      </c>
      <c r="L87" s="68">
        <f>Admin_Total!P86</f>
        <v>18000</v>
      </c>
      <c r="M87" s="68">
        <f t="shared" ref="M87:M105" si="12">SUM(F87:L87)</f>
        <v>29875</v>
      </c>
      <c r="N87" s="68" t="s">
        <v>220</v>
      </c>
      <c r="O87" s="70"/>
      <c r="P87" s="68">
        <v>33825</v>
      </c>
      <c r="R87" s="43">
        <v>24564</v>
      </c>
    </row>
    <row r="88" spans="1:18" x14ac:dyDescent="0.3">
      <c r="A88" s="66"/>
      <c r="B88" s="67" t="s">
        <v>69</v>
      </c>
      <c r="C88" s="68"/>
      <c r="D88" s="68"/>
      <c r="E88" s="68"/>
      <c r="F88" s="68">
        <f>'Support Housing'!P87</f>
        <v>0</v>
      </c>
      <c r="G88" s="68">
        <f>'FC TOTAL'!P87</f>
        <v>5830</v>
      </c>
      <c r="H88" s="68">
        <f>'SS Total'!P88</f>
        <v>0</v>
      </c>
      <c r="I88" s="68">
        <f>'Proj Dev'!P86</f>
        <v>0</v>
      </c>
      <c r="J88" s="68">
        <f>Fundraising!P87</f>
        <v>0</v>
      </c>
      <c r="K88" s="68">
        <f>Comms!P87</f>
        <v>0</v>
      </c>
      <c r="L88" s="68">
        <f>Admin_Total!P87</f>
        <v>2400</v>
      </c>
      <c r="M88" s="68">
        <f t="shared" si="12"/>
        <v>8230</v>
      </c>
      <c r="N88" s="68" t="s">
        <v>220</v>
      </c>
      <c r="O88" s="70"/>
      <c r="P88" s="68">
        <v>10795</v>
      </c>
      <c r="R88" s="43">
        <v>7629</v>
      </c>
    </row>
    <row r="89" spans="1:18" x14ac:dyDescent="0.3">
      <c r="A89" s="66"/>
      <c r="B89" s="67" t="s">
        <v>70</v>
      </c>
      <c r="C89" s="68"/>
      <c r="D89" s="68"/>
      <c r="E89" s="68"/>
      <c r="F89" s="68">
        <f>'Support Housing'!P88</f>
        <v>0</v>
      </c>
      <c r="G89" s="68">
        <f>'FC TOTAL'!P88</f>
        <v>8675</v>
      </c>
      <c r="H89" s="68">
        <f>'SS Total'!P89</f>
        <v>0</v>
      </c>
      <c r="I89" s="68">
        <f>'Proj Dev'!P87</f>
        <v>0</v>
      </c>
      <c r="J89" s="68">
        <f>Fundraising!P88</f>
        <v>0</v>
      </c>
      <c r="K89" s="68">
        <f>Comms!P88</f>
        <v>0</v>
      </c>
      <c r="L89" s="68">
        <f>Admin_Total!P88</f>
        <v>4200</v>
      </c>
      <c r="M89" s="68">
        <f t="shared" si="12"/>
        <v>12875</v>
      </c>
      <c r="N89" s="68" t="s">
        <v>220</v>
      </c>
      <c r="O89" s="70"/>
      <c r="P89" s="68">
        <v>15100</v>
      </c>
      <c r="R89" s="43">
        <v>6797</v>
      </c>
    </row>
    <row r="90" spans="1:18" x14ac:dyDescent="0.3">
      <c r="A90" s="66"/>
      <c r="B90" s="67" t="s">
        <v>71</v>
      </c>
      <c r="C90" s="68"/>
      <c r="D90" s="68"/>
      <c r="E90" s="68"/>
      <c r="F90" s="68">
        <f>'Support Housing'!P89</f>
        <v>5800</v>
      </c>
      <c r="G90" s="68">
        <f>'FC TOTAL'!P89</f>
        <v>16891.999999999996</v>
      </c>
      <c r="H90" s="68">
        <f>'SS Total'!P90</f>
        <v>0</v>
      </c>
      <c r="I90" s="68">
        <f>'Proj Dev'!P88</f>
        <v>0</v>
      </c>
      <c r="J90" s="68">
        <f>Fundraising!P89</f>
        <v>0</v>
      </c>
      <c r="K90" s="68">
        <f>Comms!P89</f>
        <v>0</v>
      </c>
      <c r="L90" s="68">
        <f>Admin_Total!P89</f>
        <v>12000</v>
      </c>
      <c r="M90" s="68">
        <f t="shared" si="12"/>
        <v>34692</v>
      </c>
      <c r="N90" s="68" t="s">
        <v>220</v>
      </c>
      <c r="O90" s="70"/>
      <c r="P90" s="68">
        <v>39784</v>
      </c>
      <c r="R90" s="43">
        <v>27415</v>
      </c>
    </row>
    <row r="91" spans="1:18" x14ac:dyDescent="0.3">
      <c r="A91" s="66"/>
      <c r="B91" s="67" t="s">
        <v>72</v>
      </c>
      <c r="C91" s="68"/>
      <c r="D91" s="68"/>
      <c r="E91" s="68"/>
      <c r="F91" s="68">
        <f>'Support Housing'!P90</f>
        <v>0</v>
      </c>
      <c r="G91" s="68">
        <f>'FC TOTAL'!P90</f>
        <v>0</v>
      </c>
      <c r="H91" s="68">
        <f>'SS Total'!P91</f>
        <v>0</v>
      </c>
      <c r="I91" s="68">
        <f>'Proj Dev'!P89</f>
        <v>0</v>
      </c>
      <c r="J91" s="68">
        <f>Fundraising!P90</f>
        <v>0</v>
      </c>
      <c r="K91" s="68">
        <f>Comms!P90</f>
        <v>0</v>
      </c>
      <c r="L91" s="68">
        <f>Admin_Total!P90</f>
        <v>0</v>
      </c>
      <c r="M91" s="68">
        <f t="shared" si="12"/>
        <v>0</v>
      </c>
      <c r="N91" s="68"/>
      <c r="O91" s="70"/>
      <c r="P91" s="68">
        <v>0</v>
      </c>
    </row>
    <row r="92" spans="1:18" x14ac:dyDescent="0.3">
      <c r="A92" s="66"/>
      <c r="B92" s="67" t="s">
        <v>73</v>
      </c>
      <c r="C92" s="68"/>
      <c r="D92" s="68"/>
      <c r="E92" s="68"/>
      <c r="F92" s="68">
        <f>'Support Housing'!P91</f>
        <v>0</v>
      </c>
      <c r="G92" s="68">
        <f>'FC TOTAL'!P91</f>
        <v>0</v>
      </c>
      <c r="H92" s="68">
        <f>'SS Total'!P92</f>
        <v>0</v>
      </c>
      <c r="I92" s="68">
        <f>'Proj Dev'!P90</f>
        <v>0</v>
      </c>
      <c r="J92" s="68">
        <f>Fundraising!P91</f>
        <v>0</v>
      </c>
      <c r="K92" s="68">
        <f>Comms!P91</f>
        <v>0</v>
      </c>
      <c r="L92" s="68">
        <f>Admin_Total!P91</f>
        <v>0</v>
      </c>
      <c r="M92" s="68">
        <f t="shared" si="12"/>
        <v>0</v>
      </c>
      <c r="N92" s="68"/>
      <c r="O92" s="70"/>
      <c r="P92" s="68">
        <v>0</v>
      </c>
    </row>
    <row r="93" spans="1:18" x14ac:dyDescent="0.3">
      <c r="A93" s="66"/>
      <c r="B93" s="67" t="s">
        <v>74</v>
      </c>
      <c r="C93" s="68"/>
      <c r="D93" s="68"/>
      <c r="E93" s="68"/>
      <c r="F93" s="68">
        <f>'Support Housing'!P92</f>
        <v>0</v>
      </c>
      <c r="G93" s="68">
        <f>'FC TOTAL'!P92</f>
        <v>1800</v>
      </c>
      <c r="H93" s="68">
        <f>'SS Total'!P93</f>
        <v>0</v>
      </c>
      <c r="I93" s="68">
        <f>'Proj Dev'!P91</f>
        <v>0</v>
      </c>
      <c r="J93" s="68">
        <f>Fundraising!P92</f>
        <v>0</v>
      </c>
      <c r="K93" s="68">
        <f>Comms!P92</f>
        <v>0</v>
      </c>
      <c r="L93" s="68">
        <f>Admin_Total!P92</f>
        <v>0</v>
      </c>
      <c r="M93" s="69">
        <f t="shared" si="12"/>
        <v>1800</v>
      </c>
      <c r="N93" s="68" t="s">
        <v>220</v>
      </c>
      <c r="O93" s="70"/>
      <c r="P93" s="69">
        <v>3500</v>
      </c>
      <c r="R93" s="43">
        <v>3840</v>
      </c>
    </row>
    <row r="94" spans="1:18" x14ac:dyDescent="0.3">
      <c r="A94" s="66"/>
      <c r="B94" s="67" t="s">
        <v>165</v>
      </c>
      <c r="C94" s="68"/>
      <c r="D94" s="68"/>
      <c r="E94" s="68"/>
      <c r="F94" s="68">
        <f>'Support Housing'!P93</f>
        <v>0</v>
      </c>
      <c r="G94" s="68">
        <f>'FC TOTAL'!P93</f>
        <v>0</v>
      </c>
      <c r="H94" s="68">
        <v>0</v>
      </c>
      <c r="I94" s="68">
        <f>'Proj Dev'!P92</f>
        <v>0</v>
      </c>
      <c r="J94" s="68">
        <f>Fundraising!P93</f>
        <v>0</v>
      </c>
      <c r="K94" s="68">
        <f>Comms!P93</f>
        <v>0</v>
      </c>
      <c r="L94" s="68">
        <f>Admin_Total!P94</f>
        <v>5760</v>
      </c>
      <c r="M94" s="68">
        <f t="shared" si="12"/>
        <v>5760</v>
      </c>
      <c r="N94" s="68" t="s">
        <v>220</v>
      </c>
      <c r="O94" s="70"/>
      <c r="P94" s="68">
        <v>5760</v>
      </c>
      <c r="R94" s="43">
        <v>1760</v>
      </c>
    </row>
    <row r="95" spans="1:18" x14ac:dyDescent="0.3">
      <c r="A95" s="66"/>
      <c r="B95" s="67" t="s">
        <v>76</v>
      </c>
      <c r="C95" s="68"/>
      <c r="D95" s="68"/>
      <c r="E95" s="68"/>
      <c r="F95" s="68">
        <f>'Support Housing'!P94</f>
        <v>0</v>
      </c>
      <c r="G95" s="68">
        <f>'FC TOTAL'!P94</f>
        <v>0</v>
      </c>
      <c r="H95" s="68">
        <f>'SS Total'!P96</f>
        <v>0</v>
      </c>
      <c r="I95" s="68">
        <f>'Proj Dev'!P93</f>
        <v>0</v>
      </c>
      <c r="J95" s="68">
        <f>Fundraising!P94</f>
        <v>0</v>
      </c>
      <c r="K95" s="68">
        <f>Comms!P94</f>
        <v>0</v>
      </c>
      <c r="L95" s="68">
        <v>0</v>
      </c>
      <c r="M95" s="68">
        <f t="shared" si="12"/>
        <v>0</v>
      </c>
      <c r="N95" s="68"/>
      <c r="O95" s="70"/>
      <c r="P95" s="68">
        <v>1000</v>
      </c>
    </row>
    <row r="96" spans="1:18" x14ac:dyDescent="0.3">
      <c r="A96" s="66"/>
      <c r="B96" s="67" t="s">
        <v>77</v>
      </c>
      <c r="C96" s="68"/>
      <c r="D96" s="68"/>
      <c r="E96" s="68"/>
      <c r="F96" s="68">
        <f>'Support Housing'!P95</f>
        <v>0</v>
      </c>
      <c r="G96" s="68">
        <f>'FC TOTAL'!P95</f>
        <v>0</v>
      </c>
      <c r="H96" s="68">
        <f>'SS Total'!P96</f>
        <v>0</v>
      </c>
      <c r="I96" s="68">
        <f>'Proj Dev'!P94</f>
        <v>0</v>
      </c>
      <c r="J96" s="68">
        <f>Fundraising!P95</f>
        <v>0</v>
      </c>
      <c r="K96" s="68">
        <f>Comms!P95</f>
        <v>0</v>
      </c>
      <c r="L96" s="68">
        <f>Admin_Total!P95</f>
        <v>0</v>
      </c>
      <c r="M96" s="69">
        <f t="shared" si="12"/>
        <v>0</v>
      </c>
      <c r="N96" s="68" t="s">
        <v>220</v>
      </c>
      <c r="O96" s="70"/>
      <c r="P96" s="69">
        <v>0</v>
      </c>
    </row>
    <row r="97" spans="1:18" x14ac:dyDescent="0.3">
      <c r="A97" s="66"/>
      <c r="B97" s="67" t="s">
        <v>78</v>
      </c>
      <c r="C97" s="68"/>
      <c r="D97" s="68"/>
      <c r="E97" s="68"/>
      <c r="F97" s="68">
        <f>'Support Housing'!P96</f>
        <v>0</v>
      </c>
      <c r="G97" s="68">
        <f>'FC TOTAL'!P96</f>
        <v>0</v>
      </c>
      <c r="H97" s="68">
        <f>'SS Total'!P97</f>
        <v>0</v>
      </c>
      <c r="I97" s="68">
        <f>'Proj Dev'!P95</f>
        <v>0</v>
      </c>
      <c r="J97" s="68">
        <f>Fundraising!P96</f>
        <v>0</v>
      </c>
      <c r="K97" s="68">
        <f>Comms!P96</f>
        <v>0</v>
      </c>
      <c r="L97" s="68">
        <f>Admin_Total!P96</f>
        <v>0</v>
      </c>
      <c r="M97" s="68">
        <f t="shared" si="12"/>
        <v>0</v>
      </c>
      <c r="N97" s="68" t="s">
        <v>220</v>
      </c>
      <c r="O97" s="70"/>
    </row>
    <row r="98" spans="1:18" x14ac:dyDescent="0.3">
      <c r="A98" s="66"/>
      <c r="B98" s="67" t="s">
        <v>79</v>
      </c>
      <c r="C98" s="68"/>
      <c r="D98" s="68"/>
      <c r="E98" s="68"/>
      <c r="F98" s="68">
        <f>'Support Housing'!P97</f>
        <v>0</v>
      </c>
      <c r="G98" s="68">
        <f>'FC TOTAL'!P97</f>
        <v>25650</v>
      </c>
      <c r="H98" s="68">
        <f>'SS Total'!P98</f>
        <v>0</v>
      </c>
      <c r="I98" s="68">
        <f>'Proj Dev'!P96</f>
        <v>0</v>
      </c>
      <c r="J98" s="68">
        <f>Fundraising!P97</f>
        <v>0</v>
      </c>
      <c r="K98" s="68">
        <f>Comms!P97</f>
        <v>0</v>
      </c>
      <c r="L98" s="68">
        <f>Admin_Total!P97</f>
        <v>0</v>
      </c>
      <c r="M98" s="68">
        <f t="shared" si="12"/>
        <v>25650</v>
      </c>
      <c r="N98" s="68" t="s">
        <v>220</v>
      </c>
      <c r="O98" s="70"/>
      <c r="P98" s="68">
        <v>33600</v>
      </c>
      <c r="R98" s="43">
        <v>20849</v>
      </c>
    </row>
    <row r="99" spans="1:18" x14ac:dyDescent="0.3">
      <c r="A99" s="66"/>
      <c r="B99" s="67" t="s">
        <v>80</v>
      </c>
      <c r="C99" s="68"/>
      <c r="D99" s="68"/>
      <c r="E99" s="68"/>
      <c r="F99" s="68">
        <f>'Support Housing'!P98</f>
        <v>0</v>
      </c>
      <c r="G99" s="68">
        <f>'FC TOTAL'!P98</f>
        <v>0</v>
      </c>
      <c r="H99" s="68">
        <f>'SS Total'!P99</f>
        <v>0</v>
      </c>
      <c r="I99" s="68">
        <f>'Proj Dev'!P97</f>
        <v>0</v>
      </c>
      <c r="J99" s="68">
        <f>Fundraising!P98</f>
        <v>0</v>
      </c>
      <c r="K99" s="68">
        <f>Comms!P98</f>
        <v>0</v>
      </c>
      <c r="L99" s="68">
        <f>Admin_Total!P98</f>
        <v>36790.199999999997</v>
      </c>
      <c r="M99" s="68">
        <f t="shared" si="12"/>
        <v>36790.199999999997</v>
      </c>
      <c r="N99" s="68" t="s">
        <v>220</v>
      </c>
      <c r="O99" s="70"/>
      <c r="P99" s="68">
        <v>36186.5</v>
      </c>
      <c r="R99" s="43">
        <v>24243</v>
      </c>
    </row>
    <row r="100" spans="1:18" x14ac:dyDescent="0.3">
      <c r="A100" s="66"/>
      <c r="B100" s="67" t="s">
        <v>81</v>
      </c>
      <c r="C100" s="68"/>
      <c r="D100" s="68"/>
      <c r="E100" s="68"/>
      <c r="F100" s="68">
        <f>'Support Housing'!P99</f>
        <v>0</v>
      </c>
      <c r="G100" s="68">
        <f>'FC TOTAL'!P99</f>
        <v>0</v>
      </c>
      <c r="H100" s="68">
        <f>'SS Total'!P100</f>
        <v>0</v>
      </c>
      <c r="I100" s="68">
        <f>'Proj Dev'!P98</f>
        <v>0</v>
      </c>
      <c r="J100" s="68">
        <f>Fundraising!P99</f>
        <v>0</v>
      </c>
      <c r="K100" s="68">
        <f>Comms!P99</f>
        <v>0</v>
      </c>
      <c r="L100" s="68">
        <f>Admin_Total!P99</f>
        <v>3600</v>
      </c>
      <c r="M100" s="68">
        <f t="shared" si="12"/>
        <v>3600</v>
      </c>
      <c r="N100" s="68" t="s">
        <v>220</v>
      </c>
      <c r="O100" s="70"/>
      <c r="P100" s="68">
        <v>3525</v>
      </c>
      <c r="R100" s="43">
        <v>2592</v>
      </c>
    </row>
    <row r="101" spans="1:18" x14ac:dyDescent="0.3">
      <c r="A101" s="66"/>
      <c r="B101" s="67" t="s">
        <v>82</v>
      </c>
      <c r="C101" s="68"/>
      <c r="D101" s="68"/>
      <c r="E101" s="68"/>
      <c r="F101" s="68">
        <f>'Support Housing'!P100</f>
        <v>0</v>
      </c>
      <c r="G101" s="68">
        <f>'FC TOTAL'!P100</f>
        <v>1200</v>
      </c>
      <c r="H101" s="68">
        <f>'SS Total'!P101</f>
        <v>0</v>
      </c>
      <c r="I101" s="68">
        <f>'Proj Dev'!P99</f>
        <v>0</v>
      </c>
      <c r="J101" s="68">
        <f>Fundraising!P100</f>
        <v>0</v>
      </c>
      <c r="K101" s="68">
        <f>Comms!P100</f>
        <v>0</v>
      </c>
      <c r="L101" s="68">
        <f>Admin_Total!P100</f>
        <v>0</v>
      </c>
      <c r="M101" s="68">
        <f t="shared" si="12"/>
        <v>1200</v>
      </c>
      <c r="N101" s="68" t="s">
        <v>220</v>
      </c>
      <c r="O101" s="70"/>
      <c r="P101" s="68">
        <v>1850</v>
      </c>
      <c r="R101" s="43">
        <v>1710</v>
      </c>
    </row>
    <row r="102" spans="1:18" x14ac:dyDescent="0.3">
      <c r="A102" s="66"/>
      <c r="B102" s="67" t="s">
        <v>83</v>
      </c>
      <c r="C102" s="68"/>
      <c r="D102" s="68"/>
      <c r="E102" s="68"/>
      <c r="F102" s="68">
        <f>'Support Housing'!P101</f>
        <v>0</v>
      </c>
      <c r="G102" s="68">
        <f>'FC TOTAL'!P101</f>
        <v>0</v>
      </c>
      <c r="H102" s="68">
        <f>'SS Total'!P102</f>
        <v>0</v>
      </c>
      <c r="I102" s="68">
        <f>'Proj Dev'!P100</f>
        <v>0</v>
      </c>
      <c r="J102" s="68">
        <f>Fundraising!P101</f>
        <v>0</v>
      </c>
      <c r="K102" s="68">
        <f>Comms!P101</f>
        <v>0</v>
      </c>
      <c r="L102" s="68">
        <f>Admin_Total!P101</f>
        <v>105000</v>
      </c>
      <c r="M102" s="69">
        <f t="shared" si="12"/>
        <v>105000</v>
      </c>
      <c r="N102" s="68" t="s">
        <v>220</v>
      </c>
      <c r="O102" s="70"/>
      <c r="P102" s="69">
        <v>105000</v>
      </c>
      <c r="R102" s="68">
        <v>78916</v>
      </c>
    </row>
    <row r="103" spans="1:18" hidden="1" x14ac:dyDescent="0.3">
      <c r="A103" s="66"/>
      <c r="B103" s="66"/>
      <c r="C103" s="68"/>
      <c r="D103" s="68"/>
      <c r="E103" s="68"/>
      <c r="F103" s="68">
        <f>'Support Housing'!P102</f>
        <v>0</v>
      </c>
      <c r="G103" s="68">
        <f>'FC TOTAL'!P102</f>
        <v>0</v>
      </c>
      <c r="H103" s="68">
        <f>'SS Total'!P103</f>
        <v>0</v>
      </c>
      <c r="I103" s="68">
        <f>'Proj Dev'!P101</f>
        <v>0</v>
      </c>
      <c r="J103" s="68">
        <f>Fundraising!P102</f>
        <v>0</v>
      </c>
      <c r="K103" s="68">
        <f>Comms!P102</f>
        <v>0</v>
      </c>
      <c r="L103" s="68">
        <f>Admin_Total!P102</f>
        <v>0</v>
      </c>
      <c r="M103" s="68">
        <f t="shared" si="12"/>
        <v>0</v>
      </c>
      <c r="N103" s="68"/>
      <c r="O103" s="70"/>
      <c r="P103" s="68">
        <v>0</v>
      </c>
      <c r="R103" s="44">
        <v>200315</v>
      </c>
    </row>
    <row r="104" spans="1:18" hidden="1" x14ac:dyDescent="0.3">
      <c r="A104" s="66"/>
      <c r="B104" s="67"/>
      <c r="C104" s="68"/>
      <c r="D104" s="68"/>
      <c r="E104" s="68"/>
      <c r="F104" s="68">
        <f>'Support Housing'!P103</f>
        <v>0</v>
      </c>
      <c r="G104" s="68">
        <f>'FC TOTAL'!P103</f>
        <v>0</v>
      </c>
      <c r="H104" s="68">
        <f>'SS Total'!P104</f>
        <v>0</v>
      </c>
      <c r="I104" s="68">
        <f>'Proj Dev'!P102</f>
        <v>0</v>
      </c>
      <c r="J104" s="68">
        <f>Fundraising!P103</f>
        <v>0</v>
      </c>
      <c r="K104" s="68">
        <f>Comms!P103</f>
        <v>0</v>
      </c>
      <c r="L104" s="68">
        <f>Admin_Total!P103</f>
        <v>0</v>
      </c>
      <c r="M104" s="68">
        <f t="shared" si="12"/>
        <v>0</v>
      </c>
      <c r="N104" s="68"/>
      <c r="O104" s="70"/>
      <c r="P104" s="68">
        <v>0</v>
      </c>
    </row>
    <row r="105" spans="1:18" hidden="1" x14ac:dyDescent="0.3">
      <c r="A105" s="66"/>
      <c r="B105" s="67"/>
      <c r="C105" s="68"/>
      <c r="D105" s="68"/>
      <c r="E105" s="68"/>
      <c r="F105" s="68">
        <f>'Support Housing'!P104</f>
        <v>0</v>
      </c>
      <c r="G105" s="68">
        <f>'FC TOTAL'!P104</f>
        <v>0</v>
      </c>
      <c r="H105" s="68">
        <f>'SS Total'!P105</f>
        <v>0</v>
      </c>
      <c r="I105" s="68">
        <f>'Proj Dev'!P103</f>
        <v>0</v>
      </c>
      <c r="J105" s="68">
        <f>Fundraising!P104</f>
        <v>0</v>
      </c>
      <c r="K105" s="68">
        <f>Comms!P104</f>
        <v>0</v>
      </c>
      <c r="L105" s="68">
        <f>Admin_Total!P104</f>
        <v>0</v>
      </c>
      <c r="M105" s="68">
        <f t="shared" si="12"/>
        <v>0</v>
      </c>
      <c r="N105" s="68"/>
      <c r="O105" s="70"/>
      <c r="P105" s="68">
        <v>0</v>
      </c>
    </row>
    <row r="106" spans="1:18" s="62" customFormat="1" x14ac:dyDescent="0.3">
      <c r="A106" s="193" t="s">
        <v>84</v>
      </c>
      <c r="B106" s="193"/>
      <c r="C106" s="44"/>
      <c r="D106" s="44"/>
      <c r="E106" s="44"/>
      <c r="F106" s="73">
        <f>SUM(F87:F105)</f>
        <v>5800</v>
      </c>
      <c r="G106" s="73">
        <f t="shared" ref="G106:L106" si="13">SUM(G87:G105)</f>
        <v>71922</v>
      </c>
      <c r="H106" s="73">
        <f t="shared" si="13"/>
        <v>0</v>
      </c>
      <c r="I106" s="73">
        <f t="shared" si="13"/>
        <v>0</v>
      </c>
      <c r="J106" s="73">
        <f t="shared" si="13"/>
        <v>0</v>
      </c>
      <c r="K106" s="73">
        <f t="shared" si="13"/>
        <v>0</v>
      </c>
      <c r="L106" s="73">
        <f t="shared" si="13"/>
        <v>187750.2</v>
      </c>
      <c r="M106" s="73">
        <f>SUM(M87:M105)</f>
        <v>265472.2</v>
      </c>
      <c r="N106" s="74"/>
      <c r="O106" s="75"/>
      <c r="P106" s="73">
        <f>SUM(P87:P105)</f>
        <v>289925.5</v>
      </c>
      <c r="R106" s="44">
        <f>SUM(R87:R102)</f>
        <v>200315</v>
      </c>
    </row>
    <row r="107" spans="1:18" s="62" customFormat="1" x14ac:dyDescent="0.3">
      <c r="A107" s="72" t="s">
        <v>85</v>
      </c>
      <c r="B107" s="77"/>
      <c r="C107" s="44"/>
      <c r="D107" s="44"/>
      <c r="E107" s="44"/>
      <c r="F107" s="73">
        <f>F106+F85+F54+F43</f>
        <v>1853666.633834105</v>
      </c>
      <c r="G107" s="73">
        <f t="shared" ref="G107:L107" si="14">G106+G85+G54+G43</f>
        <v>1174576.7178762143</v>
      </c>
      <c r="H107" s="73">
        <f t="shared" si="14"/>
        <v>549623.43265956477</v>
      </c>
      <c r="I107" s="73">
        <f t="shared" si="14"/>
        <v>0</v>
      </c>
      <c r="J107" s="73">
        <f t="shared" si="14"/>
        <v>260270.00177042544</v>
      </c>
      <c r="K107" s="73">
        <f t="shared" si="14"/>
        <v>67696.507457237371</v>
      </c>
      <c r="L107" s="73">
        <f t="shared" si="14"/>
        <v>674597.29919647577</v>
      </c>
      <c r="M107" s="73">
        <f>M106+M85+M54+M43</f>
        <v>4580430.6065240232</v>
      </c>
      <c r="N107" s="44"/>
      <c r="P107" s="73">
        <v>4570198.4787479993</v>
      </c>
      <c r="R107" s="44">
        <v>3302393</v>
      </c>
    </row>
    <row r="108" spans="1:18" x14ac:dyDescent="0.3">
      <c r="A108" s="67" t="s">
        <v>86</v>
      </c>
      <c r="B108" s="67"/>
      <c r="C108" s="68"/>
      <c r="D108" s="68"/>
      <c r="E108" s="68"/>
      <c r="F108" s="68">
        <f>'Support Housing'!P107</f>
        <v>0</v>
      </c>
      <c r="G108" s="68">
        <f>'FC TOTAL'!P107</f>
        <v>0</v>
      </c>
      <c r="H108" s="68">
        <f>'SS Total'!P108</f>
        <v>0</v>
      </c>
      <c r="I108" s="68">
        <f>'Proj Dev'!P106</f>
        <v>0</v>
      </c>
      <c r="J108" s="68">
        <f>Fundraising!P107</f>
        <v>0</v>
      </c>
      <c r="K108" s="68">
        <f>Comms!P107</f>
        <v>0</v>
      </c>
      <c r="L108" s="68">
        <f>Admin_Total!P107</f>
        <v>0</v>
      </c>
      <c r="M108" s="68">
        <f>Admin_Total!Q107</f>
        <v>0</v>
      </c>
      <c r="N108" s="68"/>
      <c r="P108" s="68">
        <v>0</v>
      </c>
    </row>
    <row r="109" spans="1:18" hidden="1" x14ac:dyDescent="0.3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Q109" t="s">
        <v>99</v>
      </c>
    </row>
    <row r="110" spans="1:18" s="82" customFormat="1" x14ac:dyDescent="0.3">
      <c r="A110" s="79"/>
      <c r="B110" s="83" t="s">
        <v>187</v>
      </c>
      <c r="C110" s="79"/>
      <c r="D110" s="79"/>
      <c r="E110" s="79"/>
      <c r="F110" s="84">
        <f>F32-F107-F108</f>
        <v>220239.9961001419</v>
      </c>
      <c r="G110" s="84">
        <f t="shared" ref="G110:L110" si="15">G32-G107-G108</f>
        <v>-154616.95737621433</v>
      </c>
      <c r="H110" s="84">
        <f t="shared" si="15"/>
        <v>73040.717340435251</v>
      </c>
      <c r="I110" s="80">
        <f t="shared" si="15"/>
        <v>0</v>
      </c>
      <c r="J110" s="84">
        <f t="shared" si="15"/>
        <v>599729.99822957453</v>
      </c>
      <c r="K110" s="80">
        <f t="shared" si="15"/>
        <v>-67696.507457237371</v>
      </c>
      <c r="L110" s="80">
        <f t="shared" si="15"/>
        <v>-670697.29919647577</v>
      </c>
      <c r="M110" s="80">
        <f>M32-M107-M108</f>
        <v>-6.608977634459734E-2</v>
      </c>
      <c r="N110" s="81"/>
      <c r="P110" s="80">
        <v>-267247.18244799972</v>
      </c>
      <c r="R110" s="43" t="s">
        <v>99</v>
      </c>
    </row>
    <row r="111" spans="1:18" s="63" customFormat="1" x14ac:dyDescent="0.3">
      <c r="A111" s="68"/>
      <c r="B111" s="68" t="s">
        <v>150</v>
      </c>
      <c r="C111" s="68"/>
      <c r="D111" s="68"/>
      <c r="E111" s="68"/>
      <c r="F111" s="71"/>
      <c r="G111" s="71"/>
      <c r="H111" s="71"/>
      <c r="I111" s="71">
        <v>0</v>
      </c>
      <c r="J111" s="71"/>
      <c r="K111" s="71"/>
      <c r="L111" s="71"/>
      <c r="M111" s="71">
        <f>I111</f>
        <v>0</v>
      </c>
      <c r="N111" s="71"/>
      <c r="P111" s="71">
        <v>250000</v>
      </c>
      <c r="R111" s="68"/>
    </row>
    <row r="112" spans="1:18" s="62" customFormat="1" ht="15" thickBot="1" x14ac:dyDescent="0.35">
      <c r="A112" s="44"/>
      <c r="B112" s="44" t="s">
        <v>188</v>
      </c>
      <c r="C112" s="44"/>
      <c r="D112" s="44"/>
      <c r="E112" s="44"/>
      <c r="F112" s="78">
        <f>F110+F111</f>
        <v>220239.9961001419</v>
      </c>
      <c r="G112" s="78">
        <f t="shared" ref="G112:M112" si="16">G110+G111</f>
        <v>-154616.95737621433</v>
      </c>
      <c r="H112" s="78">
        <f t="shared" si="16"/>
        <v>73040.717340435251</v>
      </c>
      <c r="I112" s="78">
        <f t="shared" si="16"/>
        <v>0</v>
      </c>
      <c r="J112" s="78">
        <f t="shared" si="16"/>
        <v>599729.99822957453</v>
      </c>
      <c r="K112" s="85">
        <f t="shared" si="16"/>
        <v>-67696.507457237371</v>
      </c>
      <c r="L112" s="85">
        <f t="shared" si="16"/>
        <v>-670697.29919647577</v>
      </c>
      <c r="M112" s="78">
        <f t="shared" si="16"/>
        <v>-6.608977634459734E-2</v>
      </c>
      <c r="N112" s="74"/>
      <c r="P112" s="85">
        <v>-17247.182447999716</v>
      </c>
      <c r="R112" s="44"/>
    </row>
    <row r="113" spans="1:15" ht="15" hidden="1" thickTop="1" x14ac:dyDescent="0.3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44">
        <f>'Total by month'!P109</f>
        <v>-5.2359776571393013E-2</v>
      </c>
      <c r="N113" s="44"/>
    </row>
    <row r="114" spans="1:15" ht="15" hidden="1" thickTop="1" x14ac:dyDescent="0.3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45">
        <f>M110-M113</f>
        <v>-1.3729999773204327E-2</v>
      </c>
      <c r="N114" s="45"/>
    </row>
    <row r="115" spans="1:15" ht="15" thickTop="1" x14ac:dyDescent="0.3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</row>
    <row r="116" spans="1:15" x14ac:dyDescent="0.3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</row>
    <row r="117" spans="1:15" x14ac:dyDescent="0.3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</row>
    <row r="118" spans="1:15" x14ac:dyDescent="0.3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</row>
    <row r="119" spans="1:15" x14ac:dyDescent="0.3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</row>
    <row r="120" spans="1:15" x14ac:dyDescent="0.3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</row>
    <row r="121" spans="1:15" x14ac:dyDescent="0.3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</row>
    <row r="122" spans="1:15" x14ac:dyDescent="0.3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</row>
    <row r="123" spans="1:15" x14ac:dyDescent="0.3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</row>
    <row r="124" spans="1:15" x14ac:dyDescent="0.3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</row>
    <row r="125" spans="1:15" x14ac:dyDescent="0.3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</row>
    <row r="126" spans="1:15" x14ac:dyDescent="0.3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</row>
    <row r="127" spans="1:15" x14ac:dyDescent="0.3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</row>
    <row r="128" spans="1:15" x14ac:dyDescent="0.3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</row>
    <row r="129" spans="1:14" x14ac:dyDescent="0.3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</row>
    <row r="130" spans="1:14" x14ac:dyDescent="0.3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</row>
    <row r="131" spans="1:14" x14ac:dyDescent="0.3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</row>
    <row r="132" spans="1:14" x14ac:dyDescent="0.3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</row>
    <row r="133" spans="1:14" x14ac:dyDescent="0.3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</row>
    <row r="134" spans="1:14" x14ac:dyDescent="0.3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</row>
    <row r="135" spans="1:14" x14ac:dyDescent="0.3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</row>
    <row r="136" spans="1:14" x14ac:dyDescent="0.3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</row>
    <row r="137" spans="1:14" x14ac:dyDescent="0.3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</row>
    <row r="138" spans="1:14" x14ac:dyDescent="0.3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</row>
    <row r="139" spans="1:14" x14ac:dyDescent="0.3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</row>
    <row r="140" spans="1:14" x14ac:dyDescent="0.3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</row>
    <row r="141" spans="1:14" x14ac:dyDescent="0.3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</row>
    <row r="142" spans="1:14" x14ac:dyDescent="0.3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</row>
    <row r="143" spans="1:14" x14ac:dyDescent="0.3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</row>
    <row r="144" spans="1:14" x14ac:dyDescent="0.3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</row>
    <row r="145" spans="1:14" x14ac:dyDescent="0.3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</row>
    <row r="146" spans="1:14" x14ac:dyDescent="0.3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</row>
    <row r="147" spans="1:14" x14ac:dyDescent="0.3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</row>
    <row r="148" spans="1:14" x14ac:dyDescent="0.3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</row>
    <row r="149" spans="1:14" x14ac:dyDescent="0.3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</row>
    <row r="150" spans="1:14" x14ac:dyDescent="0.3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</row>
    <row r="151" spans="1:14" x14ac:dyDescent="0.3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</row>
    <row r="152" spans="1:14" x14ac:dyDescent="0.3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</row>
    <row r="153" spans="1:14" x14ac:dyDescent="0.3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</row>
    <row r="154" spans="1:14" x14ac:dyDescent="0.3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</row>
    <row r="155" spans="1:14" x14ac:dyDescent="0.3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</row>
    <row r="156" spans="1:14" x14ac:dyDescent="0.3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</row>
    <row r="157" spans="1:14" x14ac:dyDescent="0.3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</row>
    <row r="158" spans="1:14" x14ac:dyDescent="0.3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</row>
    <row r="159" spans="1:14" x14ac:dyDescent="0.3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</row>
    <row r="160" spans="1:14" x14ac:dyDescent="0.3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</row>
    <row r="161" spans="1:16" x14ac:dyDescent="0.3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</row>
    <row r="162" spans="1:16" x14ac:dyDescent="0.3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</row>
    <row r="163" spans="1:16" x14ac:dyDescent="0.3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</row>
    <row r="164" spans="1:16" x14ac:dyDescent="0.3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</row>
    <row r="165" spans="1:16" x14ac:dyDescent="0.3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</row>
    <row r="166" spans="1:16" x14ac:dyDescent="0.3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</row>
    <row r="167" spans="1:16" x14ac:dyDescent="0.3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</row>
    <row r="168" spans="1:16" x14ac:dyDescent="0.3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</row>
    <row r="169" spans="1:16" x14ac:dyDescent="0.3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</row>
    <row r="170" spans="1:16" x14ac:dyDescent="0.3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</row>
    <row r="171" spans="1:16" x14ac:dyDescent="0.3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</row>
    <row r="172" spans="1:16" x14ac:dyDescent="0.3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P172" s="115">
        <v>1513377</v>
      </c>
    </row>
    <row r="173" spans="1:16" x14ac:dyDescent="0.3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P173" s="115">
        <v>331878</v>
      </c>
    </row>
    <row r="174" spans="1:16" x14ac:dyDescent="0.3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P174" s="115">
        <v>40824</v>
      </c>
    </row>
    <row r="175" spans="1:16" x14ac:dyDescent="0.3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P175" s="115">
        <v>121431</v>
      </c>
    </row>
    <row r="176" spans="1:16" x14ac:dyDescent="0.3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P176" s="115">
        <v>23864</v>
      </c>
    </row>
    <row r="177" spans="1:16" x14ac:dyDescent="0.3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P177" s="116">
        <v>38010</v>
      </c>
    </row>
    <row r="178" spans="1:16" x14ac:dyDescent="0.3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P178" s="116">
        <v>2069382</v>
      </c>
    </row>
    <row r="179" spans="1:16" x14ac:dyDescent="0.3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P179" s="142"/>
    </row>
    <row r="180" spans="1:16" x14ac:dyDescent="0.3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P180" s="142"/>
    </row>
    <row r="181" spans="1:16" x14ac:dyDescent="0.3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P181" s="115">
        <v>377789</v>
      </c>
    </row>
    <row r="182" spans="1:16" x14ac:dyDescent="0.3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P182" s="115">
        <v>110154</v>
      </c>
    </row>
    <row r="183" spans="1:16" x14ac:dyDescent="0.3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P183" s="116">
        <v>122740</v>
      </c>
    </row>
    <row r="184" spans="1:16" x14ac:dyDescent="0.3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P184" s="115">
        <v>610683</v>
      </c>
    </row>
    <row r="185" spans="1:16" x14ac:dyDescent="0.3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P185" s="143"/>
    </row>
    <row r="186" spans="1:16" x14ac:dyDescent="0.3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P186" s="142"/>
    </row>
    <row r="187" spans="1:16" x14ac:dyDescent="0.3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P187" s="115">
        <v>216658</v>
      </c>
    </row>
    <row r="188" spans="1:16" x14ac:dyDescent="0.3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P188" s="115">
        <v>173100</v>
      </c>
    </row>
    <row r="189" spans="1:16" x14ac:dyDescent="0.3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P189" s="115">
        <v>72500</v>
      </c>
    </row>
    <row r="190" spans="1:16" x14ac:dyDescent="0.3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P190" s="115">
        <v>12198</v>
      </c>
    </row>
    <row r="191" spans="1:16" x14ac:dyDescent="0.3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P191" s="116">
        <v>4957</v>
      </c>
    </row>
    <row r="192" spans="1:16" x14ac:dyDescent="0.3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P192" s="116">
        <v>479414</v>
      </c>
    </row>
    <row r="193" spans="1:16" x14ac:dyDescent="0.3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P193" s="142"/>
    </row>
    <row r="194" spans="1:16" x14ac:dyDescent="0.3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P194" s="142"/>
    </row>
    <row r="195" spans="1:16" x14ac:dyDescent="0.3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P195" s="115">
        <v>0</v>
      </c>
    </row>
    <row r="196" spans="1:16" x14ac:dyDescent="0.3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P196" s="115">
        <v>30204</v>
      </c>
    </row>
    <row r="197" spans="1:16" x14ac:dyDescent="0.3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P197" s="116">
        <v>1574</v>
      </c>
    </row>
    <row r="198" spans="1:16" x14ac:dyDescent="0.3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P198" s="116">
        <v>31778</v>
      </c>
    </row>
    <row r="199" spans="1:16" x14ac:dyDescent="0.3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P199" s="143"/>
    </row>
    <row r="200" spans="1:16" x14ac:dyDescent="0.3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P200" s="116">
        <v>3191257</v>
      </c>
    </row>
    <row r="201" spans="1:16" x14ac:dyDescent="0.3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P201" s="142"/>
    </row>
    <row r="202" spans="1:16" x14ac:dyDescent="0.3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P202" s="142"/>
    </row>
    <row r="203" spans="1:16" x14ac:dyDescent="0.3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P203" s="142"/>
    </row>
    <row r="204" spans="1:16" x14ac:dyDescent="0.3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P204" s="142"/>
    </row>
    <row r="205" spans="1:16" x14ac:dyDescent="0.3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P205" s="115">
        <v>2031247</v>
      </c>
    </row>
    <row r="206" spans="1:16" x14ac:dyDescent="0.3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P206" s="115">
        <v>148199</v>
      </c>
    </row>
    <row r="207" spans="1:16" x14ac:dyDescent="0.3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P207" s="115">
        <v>243030</v>
      </c>
    </row>
    <row r="208" spans="1:16" x14ac:dyDescent="0.3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P208" s="115">
        <v>21032</v>
      </c>
    </row>
    <row r="209" spans="1:16" x14ac:dyDescent="0.3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P209" s="115">
        <v>56557</v>
      </c>
    </row>
    <row r="210" spans="1:16" x14ac:dyDescent="0.3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P210" s="115">
        <v>29235</v>
      </c>
    </row>
    <row r="211" spans="1:16" x14ac:dyDescent="0.3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P211" s="116">
        <v>0</v>
      </c>
    </row>
    <row r="212" spans="1:16" x14ac:dyDescent="0.3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P212" s="116">
        <v>2529300</v>
      </c>
    </row>
    <row r="213" spans="1:16" x14ac:dyDescent="0.3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P213" s="142"/>
    </row>
    <row r="214" spans="1:16" x14ac:dyDescent="0.3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P214" s="142"/>
    </row>
    <row r="215" spans="1:16" x14ac:dyDescent="0.3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P215" s="115">
        <v>42050</v>
      </c>
    </row>
    <row r="216" spans="1:16" x14ac:dyDescent="0.3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P216" s="115">
        <v>15154</v>
      </c>
    </row>
    <row r="217" spans="1:16" x14ac:dyDescent="0.3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P217" s="115">
        <v>9091</v>
      </c>
    </row>
    <row r="218" spans="1:16" x14ac:dyDescent="0.3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P218" s="115">
        <v>5417</v>
      </c>
    </row>
    <row r="219" spans="1:16" x14ac:dyDescent="0.3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P219" s="115">
        <v>3033</v>
      </c>
    </row>
    <row r="220" spans="1:16" x14ac:dyDescent="0.3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P220" s="115">
        <v>7688</v>
      </c>
    </row>
    <row r="221" spans="1:16" x14ac:dyDescent="0.3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P221" s="115">
        <v>12672</v>
      </c>
    </row>
    <row r="222" spans="1:16" x14ac:dyDescent="0.3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P222" s="115">
        <v>198274</v>
      </c>
    </row>
    <row r="223" spans="1:16" x14ac:dyDescent="0.3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P223" s="115">
        <v>0</v>
      </c>
    </row>
    <row r="224" spans="1:16" x14ac:dyDescent="0.3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P224" s="116">
        <v>12363</v>
      </c>
    </row>
    <row r="225" spans="16:16" x14ac:dyDescent="0.3">
      <c r="P225" s="116">
        <v>305741</v>
      </c>
    </row>
    <row r="226" spans="16:16" x14ac:dyDescent="0.3">
      <c r="P226" s="142"/>
    </row>
    <row r="227" spans="16:16" x14ac:dyDescent="0.3">
      <c r="P227" s="142"/>
    </row>
    <row r="228" spans="16:16" x14ac:dyDescent="0.3">
      <c r="P228" s="115">
        <v>40069</v>
      </c>
    </row>
    <row r="229" spans="16:16" x14ac:dyDescent="0.3">
      <c r="P229" s="115">
        <v>11508</v>
      </c>
    </row>
    <row r="230" spans="16:16" x14ac:dyDescent="0.3">
      <c r="P230" s="115">
        <v>13596</v>
      </c>
    </row>
    <row r="231" spans="16:16" x14ac:dyDescent="0.3">
      <c r="P231" s="115">
        <v>4854</v>
      </c>
    </row>
    <row r="232" spans="16:16" x14ac:dyDescent="0.3">
      <c r="P232" s="115">
        <v>2936</v>
      </c>
    </row>
    <row r="233" spans="16:16" x14ac:dyDescent="0.3">
      <c r="P233" s="115">
        <v>52</v>
      </c>
    </row>
    <row r="234" spans="16:16" x14ac:dyDescent="0.3">
      <c r="P234" s="115">
        <v>1879</v>
      </c>
    </row>
    <row r="235" spans="16:16" x14ac:dyDescent="0.3">
      <c r="P235" s="115">
        <v>145</v>
      </c>
    </row>
    <row r="236" spans="16:16" x14ac:dyDescent="0.3">
      <c r="P236" s="115">
        <v>1989</v>
      </c>
    </row>
    <row r="237" spans="16:16" x14ac:dyDescent="0.3">
      <c r="P237" s="115">
        <v>575</v>
      </c>
    </row>
    <row r="238" spans="16:16" x14ac:dyDescent="0.3">
      <c r="P238" s="115">
        <v>6100</v>
      </c>
    </row>
    <row r="239" spans="16:16" x14ac:dyDescent="0.3">
      <c r="P239" s="115">
        <v>5069</v>
      </c>
    </row>
    <row r="240" spans="16:16" x14ac:dyDescent="0.3">
      <c r="P240" s="115">
        <v>9460</v>
      </c>
    </row>
    <row r="241" spans="16:16" x14ac:dyDescent="0.3">
      <c r="P241" s="115">
        <v>63177</v>
      </c>
    </row>
    <row r="242" spans="16:16" x14ac:dyDescent="0.3">
      <c r="P242" s="115">
        <v>32146</v>
      </c>
    </row>
    <row r="243" spans="16:16" x14ac:dyDescent="0.3">
      <c r="P243" s="115">
        <v>12171</v>
      </c>
    </row>
    <row r="244" spans="16:16" x14ac:dyDescent="0.3">
      <c r="P244" s="115">
        <v>15000</v>
      </c>
    </row>
    <row r="245" spans="16:16" x14ac:dyDescent="0.3">
      <c r="P245" s="115">
        <v>30271</v>
      </c>
    </row>
    <row r="246" spans="16:16" x14ac:dyDescent="0.3">
      <c r="P246" s="115">
        <v>10774</v>
      </c>
    </row>
    <row r="247" spans="16:16" x14ac:dyDescent="0.3">
      <c r="P247" s="115">
        <v>3961</v>
      </c>
    </row>
    <row r="248" spans="16:16" x14ac:dyDescent="0.3">
      <c r="P248" s="116">
        <v>1304</v>
      </c>
    </row>
    <row r="249" spans="16:16" x14ac:dyDescent="0.3">
      <c r="P249" s="116">
        <v>267038</v>
      </c>
    </row>
    <row r="250" spans="16:16" x14ac:dyDescent="0.3">
      <c r="P250" s="142"/>
    </row>
    <row r="251" spans="16:16" x14ac:dyDescent="0.3">
      <c r="P251" s="142"/>
    </row>
    <row r="252" spans="16:16" x14ac:dyDescent="0.3">
      <c r="P252" s="115">
        <v>24564</v>
      </c>
    </row>
    <row r="253" spans="16:16" x14ac:dyDescent="0.3">
      <c r="P253" s="115">
        <v>7629</v>
      </c>
    </row>
    <row r="254" spans="16:16" x14ac:dyDescent="0.3">
      <c r="P254" s="115">
        <v>6797</v>
      </c>
    </row>
    <row r="255" spans="16:16" x14ac:dyDescent="0.3">
      <c r="P255" s="115">
        <v>27415</v>
      </c>
    </row>
    <row r="256" spans="16:16" x14ac:dyDescent="0.3">
      <c r="P256" s="115">
        <v>3840</v>
      </c>
    </row>
    <row r="257" spans="16:16" x14ac:dyDescent="0.3">
      <c r="P257" s="115">
        <v>1760</v>
      </c>
    </row>
    <row r="258" spans="16:16" x14ac:dyDescent="0.3">
      <c r="P258" s="115">
        <v>20849</v>
      </c>
    </row>
    <row r="259" spans="16:16" x14ac:dyDescent="0.3">
      <c r="P259" s="115">
        <v>24243</v>
      </c>
    </row>
    <row r="260" spans="16:16" x14ac:dyDescent="0.3">
      <c r="P260" s="115">
        <v>2592</v>
      </c>
    </row>
    <row r="261" spans="16:16" x14ac:dyDescent="0.3">
      <c r="P261" s="115">
        <v>1710</v>
      </c>
    </row>
    <row r="262" spans="16:16" x14ac:dyDescent="0.3">
      <c r="P262" s="116">
        <v>78916</v>
      </c>
    </row>
    <row r="263" spans="16:16" x14ac:dyDescent="0.3">
      <c r="P263" s="116">
        <v>200315</v>
      </c>
    </row>
    <row r="264" spans="16:16" x14ac:dyDescent="0.3">
      <c r="P264" s="142"/>
    </row>
    <row r="265" spans="16:16" x14ac:dyDescent="0.3">
      <c r="P265" s="143"/>
    </row>
    <row r="266" spans="16:16" x14ac:dyDescent="0.3">
      <c r="P266" s="116">
        <v>3302393</v>
      </c>
    </row>
    <row r="267" spans="16:16" x14ac:dyDescent="0.3">
      <c r="P267" s="142"/>
    </row>
    <row r="268" spans="16:16" x14ac:dyDescent="0.3">
      <c r="P268" s="142"/>
    </row>
    <row r="269" spans="16:16" ht="15" thickBot="1" x14ac:dyDescent="0.35">
      <c r="P269" s="144">
        <v>-111136</v>
      </c>
    </row>
    <row r="270" spans="16:16" ht="15" thickTop="1" x14ac:dyDescent="0.3"/>
  </sheetData>
  <mergeCells count="16">
    <mergeCell ref="A4:B4"/>
    <mergeCell ref="A106:B106"/>
    <mergeCell ref="A5:B5"/>
    <mergeCell ref="A27:B27"/>
    <mergeCell ref="A34:B34"/>
    <mergeCell ref="A43:B43"/>
    <mergeCell ref="A44:B44"/>
    <mergeCell ref="A54:B54"/>
    <mergeCell ref="A55:B55"/>
    <mergeCell ref="A26:B26"/>
    <mergeCell ref="A12:B12"/>
    <mergeCell ref="A13:B13"/>
    <mergeCell ref="A18:B18"/>
    <mergeCell ref="A19:B19"/>
    <mergeCell ref="A85:B85"/>
    <mergeCell ref="A86:B86"/>
  </mergeCells>
  <pageMargins left="0.7" right="0.7" top="0.75" bottom="0.75" header="0.3" footer="0.3"/>
  <pageSetup scale="75" orientation="landscape" r:id="rId1"/>
  <rowBreaks count="2" manualBreakCount="2">
    <brk id="33" max="17" man="1"/>
    <brk id="85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11"/>
  <sheetViews>
    <sheetView workbookViewId="0">
      <pane xSplit="3" ySplit="3" topLeftCell="D37" activePane="bottomRight" state="frozen"/>
      <selection pane="topRight" activeCell="D1" sqref="D1"/>
      <selection pane="bottomLeft" activeCell="A4" sqref="A4"/>
      <selection pane="bottomRight" activeCell="D38" sqref="D38:O38"/>
    </sheetView>
  </sheetViews>
  <sheetFormatPr defaultRowHeight="14.4" x14ac:dyDescent="0.3"/>
  <cols>
    <col min="2" max="2" width="29.88671875" customWidth="1"/>
    <col min="3" max="3" width="2.109375" customWidth="1"/>
  </cols>
  <sheetData>
    <row r="1" spans="1:17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x14ac:dyDescent="0.3">
      <c r="A3" s="25"/>
      <c r="B3" s="25"/>
      <c r="C3" s="25"/>
      <c r="D3" s="22" t="s">
        <v>100</v>
      </c>
      <c r="E3" s="22" t="s">
        <v>101</v>
      </c>
      <c r="F3" s="22" t="s">
        <v>102</v>
      </c>
      <c r="G3" s="22" t="s">
        <v>103</v>
      </c>
      <c r="H3" s="22" t="s">
        <v>104</v>
      </c>
      <c r="I3" s="22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  <c r="Q3" s="25"/>
    </row>
    <row r="4" spans="1:17" x14ac:dyDescent="0.3">
      <c r="A4" s="194" t="s">
        <v>99</v>
      </c>
      <c r="B4" s="19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x14ac:dyDescent="0.3">
      <c r="A5" s="194" t="s">
        <v>1</v>
      </c>
      <c r="B5" s="19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x14ac:dyDescent="0.3">
      <c r="A6" s="26"/>
      <c r="B6" s="94" t="s">
        <v>2</v>
      </c>
      <c r="C6" s="25"/>
      <c r="D6" s="43">
        <f>CADI!J54</f>
        <v>23830.645500000002</v>
      </c>
      <c r="E6" s="43">
        <f>CADI!K54</f>
        <v>21524.454000000002</v>
      </c>
      <c r="F6" s="43">
        <f>CADI!L54</f>
        <v>23830.645500000002</v>
      </c>
      <c r="G6" s="43">
        <f>CADI!M54</f>
        <v>22896.899999999998</v>
      </c>
      <c r="H6" s="43">
        <f>CADI!N54</f>
        <v>23830.645500000002</v>
      </c>
      <c r="I6" s="43">
        <f>CADI!O54</f>
        <v>23245.378999999997</v>
      </c>
      <c r="J6" s="43">
        <f>CADI!P54</f>
        <v>23830.645500000002</v>
      </c>
      <c r="K6" s="43">
        <f>CADI!Q54</f>
        <v>23830.645500000002</v>
      </c>
      <c r="L6" s="43">
        <f>CADI!R54</f>
        <v>23245.378999999997</v>
      </c>
      <c r="M6" s="43">
        <f>CADI!S54</f>
        <v>23830.645500000002</v>
      </c>
      <c r="N6" s="43">
        <f>CADI!T54</f>
        <v>23245.378999999997</v>
      </c>
      <c r="O6" s="43">
        <f>CADI!U54</f>
        <v>23830.645500000002</v>
      </c>
      <c r="P6" s="43">
        <f t="shared" ref="P6:P11" si="0">SUM(D6:O6)</f>
        <v>280972.00949999999</v>
      </c>
      <c r="Q6" s="25"/>
    </row>
    <row r="7" spans="1:17" x14ac:dyDescent="0.3">
      <c r="A7" s="26"/>
      <c r="B7" s="94" t="s">
        <v>204</v>
      </c>
      <c r="C7" s="25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>
        <f t="shared" si="0"/>
        <v>0</v>
      </c>
      <c r="Q7" s="25"/>
    </row>
    <row r="8" spans="1:17" s="42" customFormat="1" x14ac:dyDescent="0.3">
      <c r="A8" s="26"/>
      <c r="B8" s="94" t="s">
        <v>205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>
        <f t="shared" si="0"/>
        <v>0</v>
      </c>
      <c r="Q8" s="43"/>
    </row>
    <row r="9" spans="1:17" x14ac:dyDescent="0.3">
      <c r="A9" s="26"/>
      <c r="B9" s="94" t="s">
        <v>4</v>
      </c>
      <c r="C9" s="25"/>
      <c r="D9" s="43">
        <f>922*0.95*4</f>
        <v>3503.6</v>
      </c>
      <c r="E9" s="43">
        <f t="shared" ref="E9:O9" si="1">922*0.95*4</f>
        <v>3503.6</v>
      </c>
      <c r="F9" s="43">
        <f t="shared" si="1"/>
        <v>3503.6</v>
      </c>
      <c r="G9" s="43">
        <f t="shared" si="1"/>
        <v>3503.6</v>
      </c>
      <c r="H9" s="43">
        <f t="shared" si="1"/>
        <v>3503.6</v>
      </c>
      <c r="I9" s="43">
        <f t="shared" si="1"/>
        <v>3503.6</v>
      </c>
      <c r="J9" s="43">
        <f t="shared" si="1"/>
        <v>3503.6</v>
      </c>
      <c r="K9" s="43">
        <f t="shared" si="1"/>
        <v>3503.6</v>
      </c>
      <c r="L9" s="43">
        <f t="shared" si="1"/>
        <v>3503.6</v>
      </c>
      <c r="M9" s="43">
        <f t="shared" si="1"/>
        <v>3503.6</v>
      </c>
      <c r="N9" s="43">
        <f t="shared" si="1"/>
        <v>3503.6</v>
      </c>
      <c r="O9" s="43">
        <f t="shared" si="1"/>
        <v>3503.6</v>
      </c>
      <c r="P9" s="43">
        <f t="shared" si="0"/>
        <v>42043.19999999999</v>
      </c>
      <c r="Q9" s="25"/>
    </row>
    <row r="10" spans="1:17" s="42" customFormat="1" x14ac:dyDescent="0.3">
      <c r="A10" s="26"/>
      <c r="B10" s="94" t="s">
        <v>206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 t="shared" si="0"/>
        <v>0</v>
      </c>
      <c r="Q10" s="43"/>
    </row>
    <row r="11" spans="1:17" x14ac:dyDescent="0.3">
      <c r="A11" s="26"/>
      <c r="B11" s="94" t="s">
        <v>207</v>
      </c>
      <c r="C11" s="25"/>
      <c r="D11" s="43"/>
      <c r="E11" s="43"/>
      <c r="F11" s="43"/>
      <c r="G11" s="43"/>
      <c r="H11" s="43"/>
      <c r="I11" s="43"/>
      <c r="J11" s="25"/>
      <c r="K11" s="25"/>
      <c r="L11" s="25"/>
      <c r="M11" s="25"/>
      <c r="N11" s="25"/>
      <c r="O11" s="25"/>
      <c r="P11" s="25">
        <f t="shared" si="0"/>
        <v>0</v>
      </c>
      <c r="Q11" s="25"/>
    </row>
    <row r="12" spans="1:17" x14ac:dyDescent="0.3">
      <c r="A12" s="194" t="s">
        <v>6</v>
      </c>
      <c r="B12" s="194"/>
      <c r="C12" s="25"/>
      <c r="D12" s="28">
        <f t="shared" ref="D12:I12" si="2">SUM(D6:D11)</f>
        <v>27334.245500000001</v>
      </c>
      <c r="E12" s="28">
        <f t="shared" si="2"/>
        <v>25028.054</v>
      </c>
      <c r="F12" s="28">
        <f t="shared" si="2"/>
        <v>27334.245500000001</v>
      </c>
      <c r="G12" s="28">
        <f t="shared" si="2"/>
        <v>26400.499999999996</v>
      </c>
      <c r="H12" s="28">
        <f t="shared" si="2"/>
        <v>27334.245500000001</v>
      </c>
      <c r="I12" s="28">
        <f t="shared" si="2"/>
        <v>26748.978999999996</v>
      </c>
      <c r="J12" s="28">
        <f t="shared" ref="J12:P12" si="3">SUM(J6:J11)</f>
        <v>27334.245500000001</v>
      </c>
      <c r="K12" s="28">
        <f t="shared" si="3"/>
        <v>27334.245500000001</v>
      </c>
      <c r="L12" s="28">
        <f t="shared" si="3"/>
        <v>26748.978999999996</v>
      </c>
      <c r="M12" s="28">
        <f t="shared" si="3"/>
        <v>27334.245500000001</v>
      </c>
      <c r="N12" s="28">
        <f t="shared" si="3"/>
        <v>26748.978999999996</v>
      </c>
      <c r="O12" s="28">
        <f t="shared" si="3"/>
        <v>27334.245500000001</v>
      </c>
      <c r="P12" s="28">
        <f t="shared" si="3"/>
        <v>323015.2095</v>
      </c>
      <c r="Q12" s="29">
        <f>P12-P6-P7-P9-P11</f>
        <v>2.1827872842550278E-11</v>
      </c>
    </row>
    <row r="13" spans="1:17" x14ac:dyDescent="0.3">
      <c r="A13" s="194" t="s">
        <v>7</v>
      </c>
      <c r="B13" s="194"/>
      <c r="C13" s="25"/>
      <c r="D13" s="43"/>
      <c r="E13" s="43"/>
      <c r="F13" s="43"/>
      <c r="G13" s="43"/>
      <c r="H13" s="43"/>
      <c r="I13" s="43"/>
      <c r="J13" s="25"/>
      <c r="K13" s="25"/>
      <c r="L13" s="25"/>
      <c r="M13" s="25"/>
      <c r="N13" s="25"/>
      <c r="O13" s="25"/>
      <c r="P13" s="25"/>
      <c r="Q13" s="25"/>
    </row>
    <row r="14" spans="1:17" x14ac:dyDescent="0.3">
      <c r="A14" s="26"/>
      <c r="B14" s="97" t="s">
        <v>8</v>
      </c>
      <c r="C14" s="25"/>
      <c r="D14" s="43"/>
      <c r="E14" s="43"/>
      <c r="F14" s="43"/>
      <c r="G14" s="43"/>
      <c r="H14" s="43"/>
      <c r="I14" s="43"/>
      <c r="J14" s="25"/>
      <c r="K14" s="25"/>
      <c r="L14" s="25"/>
      <c r="M14" s="25"/>
      <c r="N14" s="25"/>
      <c r="O14" s="25"/>
      <c r="P14" s="25">
        <f>SUM(D14:O14)</f>
        <v>0</v>
      </c>
      <c r="Q14" s="25"/>
    </row>
    <row r="15" spans="1:17" x14ac:dyDescent="0.3">
      <c r="A15" s="26"/>
      <c r="B15" s="97" t="s">
        <v>9</v>
      </c>
      <c r="C15" s="25"/>
      <c r="D15" s="43"/>
      <c r="E15" s="43"/>
      <c r="F15" s="43"/>
      <c r="G15" s="43"/>
      <c r="H15" s="43"/>
      <c r="I15" s="43"/>
      <c r="J15" s="25"/>
      <c r="K15" s="25"/>
      <c r="L15" s="25"/>
      <c r="M15" s="25"/>
      <c r="N15" s="25"/>
      <c r="O15" s="25"/>
      <c r="P15" s="25">
        <f>SUM(D15:O15)</f>
        <v>0</v>
      </c>
      <c r="Q15" s="25"/>
    </row>
    <row r="16" spans="1:17" x14ac:dyDescent="0.3">
      <c r="A16" s="26"/>
      <c r="B16" s="97" t="s">
        <v>219</v>
      </c>
      <c r="C16" s="25"/>
      <c r="D16" s="43"/>
      <c r="E16" s="43"/>
      <c r="F16" s="43"/>
      <c r="G16" s="43"/>
      <c r="H16" s="43"/>
      <c r="I16" s="43"/>
      <c r="J16" s="25"/>
      <c r="K16" s="25"/>
      <c r="L16" s="25"/>
      <c r="M16" s="25"/>
      <c r="N16" s="25"/>
      <c r="O16" s="25"/>
      <c r="P16" s="25">
        <f>SUM(D16:O16)</f>
        <v>0</v>
      </c>
      <c r="Q16" s="25"/>
    </row>
    <row r="17" spans="1:17" x14ac:dyDescent="0.3">
      <c r="A17" s="26"/>
      <c r="B17" s="66" t="s">
        <v>16</v>
      </c>
      <c r="C17" s="25"/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>SUM(D17:O17)</f>
        <v>0</v>
      </c>
      <c r="Q17" s="25"/>
    </row>
    <row r="18" spans="1:17" x14ac:dyDescent="0.3">
      <c r="A18" s="194" t="s">
        <v>10</v>
      </c>
      <c r="B18" s="194"/>
      <c r="C18" s="25"/>
      <c r="D18" s="28">
        <f t="shared" ref="D18:I18" si="4">SUM(D14:D17)</f>
        <v>0</v>
      </c>
      <c r="E18" s="28">
        <f t="shared" si="4"/>
        <v>0</v>
      </c>
      <c r="F18" s="28">
        <f t="shared" si="4"/>
        <v>0</v>
      </c>
      <c r="G18" s="28">
        <f t="shared" si="4"/>
        <v>0</v>
      </c>
      <c r="H18" s="28">
        <f t="shared" si="4"/>
        <v>0</v>
      </c>
      <c r="I18" s="28">
        <f t="shared" si="4"/>
        <v>0</v>
      </c>
      <c r="J18" s="28">
        <f t="shared" ref="J18:P18" si="5">SUM(J14:J17)</f>
        <v>0</v>
      </c>
      <c r="K18" s="28">
        <f t="shared" si="5"/>
        <v>0</v>
      </c>
      <c r="L18" s="28">
        <f t="shared" si="5"/>
        <v>0</v>
      </c>
      <c r="M18" s="28">
        <f t="shared" si="5"/>
        <v>0</v>
      </c>
      <c r="N18" s="28">
        <f t="shared" si="5"/>
        <v>0</v>
      </c>
      <c r="O18" s="28">
        <f t="shared" si="5"/>
        <v>0</v>
      </c>
      <c r="P18" s="28">
        <f t="shared" si="5"/>
        <v>0</v>
      </c>
      <c r="Q18" s="29">
        <f>P18-P14-P15-P16-P17</f>
        <v>0</v>
      </c>
    </row>
    <row r="19" spans="1:17" x14ac:dyDescent="0.3">
      <c r="A19" s="194" t="s">
        <v>11</v>
      </c>
      <c r="B19" s="194"/>
      <c r="C19" s="25"/>
      <c r="D19" s="43"/>
      <c r="E19" s="43"/>
      <c r="F19" s="43"/>
      <c r="G19" s="43"/>
      <c r="H19" s="43"/>
      <c r="I19" s="43"/>
      <c r="J19" s="25"/>
      <c r="K19" s="25"/>
      <c r="L19" s="25"/>
      <c r="M19" s="25"/>
      <c r="N19" s="25"/>
      <c r="O19" s="25"/>
      <c r="P19" s="25"/>
      <c r="Q19" s="25"/>
    </row>
    <row r="20" spans="1:17" x14ac:dyDescent="0.3">
      <c r="A20" s="26"/>
      <c r="B20" s="27" t="s">
        <v>12</v>
      </c>
      <c r="C20" s="25"/>
      <c r="D20" s="43"/>
      <c r="E20" s="43"/>
      <c r="F20" s="43"/>
      <c r="G20" s="43"/>
      <c r="H20" s="43"/>
      <c r="I20" s="43"/>
      <c r="J20" s="25"/>
      <c r="K20" s="25"/>
      <c r="L20" s="25"/>
      <c r="M20" s="25"/>
      <c r="N20" s="25"/>
      <c r="O20" s="25"/>
      <c r="P20" s="25">
        <f t="shared" ref="P20:P25" si="6">SUM(D20:O20)</f>
        <v>0</v>
      </c>
      <c r="Q20" s="25"/>
    </row>
    <row r="21" spans="1:17" x14ac:dyDescent="0.3">
      <c r="A21" s="26"/>
      <c r="B21" s="27" t="s">
        <v>96</v>
      </c>
      <c r="C21" s="25"/>
      <c r="D21" s="43"/>
      <c r="E21" s="43"/>
      <c r="F21" s="43"/>
      <c r="G21" s="43"/>
      <c r="H21" s="43"/>
      <c r="I21" s="43"/>
      <c r="J21" s="25"/>
      <c r="K21" s="25"/>
      <c r="L21" s="25"/>
      <c r="M21" s="25"/>
      <c r="N21" s="25"/>
      <c r="O21" s="25"/>
      <c r="P21" s="25">
        <f t="shared" si="6"/>
        <v>0</v>
      </c>
      <c r="Q21" s="25"/>
    </row>
    <row r="22" spans="1:17" x14ac:dyDescent="0.3">
      <c r="A22" s="26"/>
      <c r="B22" s="27" t="s">
        <v>97</v>
      </c>
      <c r="C22" s="25"/>
      <c r="D22" s="43"/>
      <c r="E22" s="43"/>
      <c r="F22" s="43"/>
      <c r="G22" s="43"/>
      <c r="H22" s="43"/>
      <c r="I22" s="43"/>
      <c r="J22" s="25"/>
      <c r="K22" s="25"/>
      <c r="L22" s="25"/>
      <c r="M22" s="25"/>
      <c r="N22" s="25"/>
      <c r="O22" s="25"/>
      <c r="P22" s="25">
        <f t="shared" si="6"/>
        <v>0</v>
      </c>
      <c r="Q22" s="25"/>
    </row>
    <row r="23" spans="1:17" x14ac:dyDescent="0.3">
      <c r="A23" s="26"/>
      <c r="B23" s="27" t="s">
        <v>13</v>
      </c>
      <c r="C23" s="25"/>
      <c r="D23" s="43"/>
      <c r="E23" s="43"/>
      <c r="F23" s="43"/>
      <c r="G23" s="43"/>
      <c r="H23" s="43"/>
      <c r="I23" s="43"/>
      <c r="J23" s="25"/>
      <c r="K23" s="25"/>
      <c r="L23" s="25"/>
      <c r="M23" s="25"/>
      <c r="N23" s="25"/>
      <c r="O23" s="25"/>
      <c r="P23" s="25">
        <f t="shared" si="6"/>
        <v>0</v>
      </c>
      <c r="Q23" s="25"/>
    </row>
    <row r="24" spans="1:17" x14ac:dyDescent="0.3">
      <c r="A24" s="26"/>
      <c r="B24" s="27" t="s">
        <v>14</v>
      </c>
      <c r="C24" s="25"/>
      <c r="D24" s="43"/>
      <c r="E24" s="43"/>
      <c r="F24" s="43"/>
      <c r="G24" s="43"/>
      <c r="H24" s="43"/>
      <c r="I24" s="43"/>
      <c r="J24" s="25"/>
      <c r="K24" s="25"/>
      <c r="L24" s="25"/>
      <c r="M24" s="25"/>
      <c r="N24" s="25"/>
      <c r="O24" s="25"/>
      <c r="P24" s="25">
        <f t="shared" si="6"/>
        <v>0</v>
      </c>
      <c r="Q24" s="25"/>
    </row>
    <row r="25" spans="1:17" x14ac:dyDescent="0.3">
      <c r="A25" s="26"/>
      <c r="B25" s="26"/>
      <c r="C25" s="25"/>
      <c r="D25" s="43"/>
      <c r="E25" s="43"/>
      <c r="F25" s="43"/>
      <c r="G25" s="43"/>
      <c r="H25" s="43"/>
      <c r="I25" s="43"/>
      <c r="J25" s="25"/>
      <c r="K25" s="25"/>
      <c r="L25" s="25"/>
      <c r="M25" s="25"/>
      <c r="N25" s="25"/>
      <c r="O25" s="25"/>
      <c r="P25" s="25">
        <f t="shared" si="6"/>
        <v>0</v>
      </c>
      <c r="Q25" s="25"/>
    </row>
    <row r="26" spans="1:17" x14ac:dyDescent="0.3">
      <c r="A26" s="194" t="s">
        <v>15</v>
      </c>
      <c r="B26" s="194"/>
      <c r="C26" s="25"/>
      <c r="D26" s="28">
        <f t="shared" ref="D26:I26" si="7">SUM(D20:D25)</f>
        <v>0</v>
      </c>
      <c r="E26" s="28">
        <f t="shared" si="7"/>
        <v>0</v>
      </c>
      <c r="F26" s="28">
        <f t="shared" si="7"/>
        <v>0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ref="J26:P26" si="8">SUM(J20:J25)</f>
        <v>0</v>
      </c>
      <c r="K26" s="28">
        <f t="shared" si="8"/>
        <v>0</v>
      </c>
      <c r="L26" s="28">
        <f t="shared" si="8"/>
        <v>0</v>
      </c>
      <c r="M26" s="28">
        <f t="shared" si="8"/>
        <v>0</v>
      </c>
      <c r="N26" s="28">
        <f t="shared" si="8"/>
        <v>0</v>
      </c>
      <c r="O26" s="28">
        <f t="shared" si="8"/>
        <v>0</v>
      </c>
      <c r="P26" s="28">
        <f t="shared" si="8"/>
        <v>0</v>
      </c>
      <c r="Q26" s="29">
        <f>SUM(P20:P25)-P26</f>
        <v>0</v>
      </c>
    </row>
    <row r="27" spans="1:17" x14ac:dyDescent="0.3">
      <c r="A27" s="194" t="s">
        <v>16</v>
      </c>
      <c r="B27" s="194"/>
      <c r="C27" s="25"/>
      <c r="D27" s="43"/>
      <c r="E27" s="43"/>
      <c r="F27" s="43"/>
      <c r="G27" s="43"/>
      <c r="H27" s="43"/>
      <c r="I27" s="43"/>
      <c r="J27" s="25"/>
      <c r="K27" s="25"/>
      <c r="L27" s="25"/>
      <c r="M27" s="25"/>
      <c r="N27" s="25"/>
      <c r="O27" s="25"/>
      <c r="P27" s="25"/>
      <c r="Q27" s="25"/>
    </row>
    <row r="28" spans="1:17" x14ac:dyDescent="0.3">
      <c r="A28" s="27" t="s">
        <v>17</v>
      </c>
      <c r="B28" s="27" t="s">
        <v>18</v>
      </c>
      <c r="C28" s="25"/>
      <c r="D28" s="43"/>
      <c r="E28" s="43"/>
      <c r="F28" s="43"/>
      <c r="G28" s="43"/>
      <c r="H28" s="43"/>
      <c r="I28" s="43"/>
      <c r="J28" s="25"/>
      <c r="K28" s="25"/>
      <c r="L28" s="25"/>
      <c r="M28" s="25"/>
      <c r="N28" s="25"/>
      <c r="O28" s="25"/>
      <c r="P28" s="25">
        <f>SUM(D28:O28)</f>
        <v>0</v>
      </c>
      <c r="Q28" s="25"/>
    </row>
    <row r="29" spans="1:17" x14ac:dyDescent="0.3">
      <c r="A29" s="27" t="s">
        <v>17</v>
      </c>
      <c r="B29" s="27" t="s">
        <v>19</v>
      </c>
      <c r="C29" s="25"/>
      <c r="D29" s="43"/>
      <c r="E29" s="43"/>
      <c r="F29" s="43"/>
      <c r="G29" s="43"/>
      <c r="H29" s="43"/>
      <c r="I29" s="43"/>
      <c r="J29" s="25"/>
      <c r="K29" s="25"/>
      <c r="L29" s="25"/>
      <c r="M29" s="25"/>
      <c r="N29" s="25"/>
      <c r="O29" s="25"/>
      <c r="P29" s="25">
        <f>SUM(D29:O29)</f>
        <v>0</v>
      </c>
      <c r="Q29" s="25"/>
    </row>
    <row r="30" spans="1:17" x14ac:dyDescent="0.3">
      <c r="A30" s="27" t="s">
        <v>17</v>
      </c>
      <c r="B30" s="27" t="s">
        <v>20</v>
      </c>
      <c r="C30" s="25"/>
      <c r="D30" s="43"/>
      <c r="E30" s="43"/>
      <c r="F30" s="43"/>
      <c r="G30" s="43"/>
      <c r="H30" s="43"/>
      <c r="I30" s="43"/>
      <c r="J30" s="25"/>
      <c r="K30" s="25"/>
      <c r="L30" s="25"/>
      <c r="M30" s="25"/>
      <c r="N30" s="25"/>
      <c r="O30" s="25"/>
      <c r="P30" s="25">
        <f>SUM(D30:O30)</f>
        <v>0</v>
      </c>
      <c r="Q30" s="25"/>
    </row>
    <row r="31" spans="1:17" x14ac:dyDescent="0.3">
      <c r="A31" s="27" t="s">
        <v>17</v>
      </c>
      <c r="B31" s="27" t="s">
        <v>21</v>
      </c>
      <c r="C31" s="25"/>
      <c r="D31" s="43"/>
      <c r="E31" s="43"/>
      <c r="F31" s="43"/>
      <c r="G31" s="43"/>
      <c r="H31" s="43"/>
      <c r="I31" s="43"/>
      <c r="J31" s="25"/>
      <c r="K31" s="25"/>
      <c r="L31" s="25"/>
      <c r="M31" s="25"/>
      <c r="N31" s="25"/>
      <c r="O31" s="25"/>
      <c r="P31" s="25">
        <f>SUM(D31:O31)</f>
        <v>0</v>
      </c>
      <c r="Q31" s="25"/>
    </row>
    <row r="32" spans="1:17" x14ac:dyDescent="0.3">
      <c r="A32" s="26"/>
      <c r="B32" s="26"/>
      <c r="C32" s="25"/>
      <c r="D32" s="30">
        <f t="shared" ref="D32:I32" si="9">D12+D18+D26+D28+D29+D30+D31</f>
        <v>27334.245500000001</v>
      </c>
      <c r="E32" s="30">
        <f t="shared" si="9"/>
        <v>25028.054</v>
      </c>
      <c r="F32" s="30">
        <f t="shared" si="9"/>
        <v>27334.245500000001</v>
      </c>
      <c r="G32" s="30">
        <f t="shared" si="9"/>
        <v>26400.499999999996</v>
      </c>
      <c r="H32" s="30">
        <f t="shared" si="9"/>
        <v>27334.245500000001</v>
      </c>
      <c r="I32" s="30">
        <f t="shared" si="9"/>
        <v>26748.978999999996</v>
      </c>
      <c r="J32" s="30">
        <f t="shared" ref="J32:P32" si="10">J12+J18+J26+J28+J29+J30+J31</f>
        <v>27334.245500000001</v>
      </c>
      <c r="K32" s="30">
        <f t="shared" si="10"/>
        <v>27334.245500000001</v>
      </c>
      <c r="L32" s="30">
        <f t="shared" si="10"/>
        <v>26748.978999999996</v>
      </c>
      <c r="M32" s="30">
        <f t="shared" si="10"/>
        <v>27334.245500000001</v>
      </c>
      <c r="N32" s="30">
        <f t="shared" si="10"/>
        <v>26748.978999999996</v>
      </c>
      <c r="O32" s="30">
        <f t="shared" si="10"/>
        <v>27334.245500000001</v>
      </c>
      <c r="P32" s="30">
        <f t="shared" si="10"/>
        <v>323015.2095</v>
      </c>
      <c r="Q32" s="29">
        <f>SUM(P28:P31)*P32</f>
        <v>0</v>
      </c>
    </row>
    <row r="33" spans="1:17" x14ac:dyDescent="0.3">
      <c r="A33" s="26"/>
      <c r="B33" s="26"/>
      <c r="C33" s="25"/>
      <c r="D33" s="43"/>
      <c r="E33" s="43"/>
      <c r="F33" s="43"/>
      <c r="G33" s="43"/>
      <c r="H33" s="43"/>
      <c r="I33" s="43"/>
      <c r="J33" s="25"/>
      <c r="K33" s="25"/>
      <c r="L33" s="25"/>
      <c r="M33" s="25"/>
      <c r="N33" s="25"/>
      <c r="O33" s="25"/>
      <c r="P33" s="25"/>
      <c r="Q33" s="25"/>
    </row>
    <row r="34" spans="1:17" x14ac:dyDescent="0.3">
      <c r="A34" s="194" t="s">
        <v>22</v>
      </c>
      <c r="B34" s="194"/>
      <c r="C34" s="25"/>
      <c r="D34" s="43"/>
      <c r="E34" s="43"/>
      <c r="F34" s="43"/>
      <c r="G34" s="43"/>
      <c r="H34" s="43"/>
      <c r="I34" s="43"/>
      <c r="J34" s="25"/>
      <c r="K34" s="25"/>
      <c r="L34" s="25"/>
      <c r="M34" s="25"/>
      <c r="N34" s="25"/>
      <c r="O34" s="25"/>
      <c r="P34" s="25"/>
      <c r="Q34" s="25"/>
    </row>
    <row r="35" spans="1:17" x14ac:dyDescent="0.3">
      <c r="A35" s="26"/>
      <c r="B35" s="27" t="s">
        <v>23</v>
      </c>
      <c r="C35" s="25"/>
      <c r="D35" s="43">
        <f>Sheet22!I90</f>
        <v>25931.990399999999</v>
      </c>
      <c r="E35" s="43">
        <f>Sheet22!J90</f>
        <v>25931.990399999999</v>
      </c>
      <c r="F35" s="43">
        <f>Sheet22!K90</f>
        <v>38897.9856</v>
      </c>
      <c r="G35" s="43">
        <f>Sheet22!L90</f>
        <v>25931.990399999999</v>
      </c>
      <c r="H35" s="43">
        <f>Sheet22!M90</f>
        <v>25931.990399999999</v>
      </c>
      <c r="I35" s="43">
        <f>Sheet22!N90</f>
        <v>25931.990399999999</v>
      </c>
      <c r="J35" s="43">
        <f>Sheet22!O90</f>
        <v>25931.990399999999</v>
      </c>
      <c r="K35" s="43">
        <f>Sheet22!P90</f>
        <v>38897.9856</v>
      </c>
      <c r="L35" s="43">
        <f>Sheet22!Q90</f>
        <v>25931.990399999999</v>
      </c>
      <c r="M35" s="43">
        <f>Sheet22!R90</f>
        <v>25931.990399999999</v>
      </c>
      <c r="N35" s="43">
        <f>Sheet22!S90</f>
        <v>25931.990399999999</v>
      </c>
      <c r="O35" s="43">
        <f>Sheet22!T90</f>
        <v>25931.990399999999</v>
      </c>
      <c r="P35" s="25">
        <f>SUM(D35:O35)</f>
        <v>337115.87520000007</v>
      </c>
      <c r="Q35" s="25"/>
    </row>
    <row r="36" spans="1:17" x14ac:dyDescent="0.3">
      <c r="A36" s="26"/>
      <c r="B36" s="27" t="s">
        <v>24</v>
      </c>
      <c r="C36" s="25"/>
      <c r="D36" s="43">
        <f>D35*0.0735</f>
        <v>1906.0012943999998</v>
      </c>
      <c r="E36" s="43">
        <f t="shared" ref="E36:O36" si="11">E35*0.0735</f>
        <v>1906.0012943999998</v>
      </c>
      <c r="F36" s="43">
        <f t="shared" si="11"/>
        <v>2859.0019416</v>
      </c>
      <c r="G36" s="43">
        <f t="shared" si="11"/>
        <v>1906.0012943999998</v>
      </c>
      <c r="H36" s="43">
        <f t="shared" si="11"/>
        <v>1906.0012943999998</v>
      </c>
      <c r="I36" s="43">
        <f t="shared" si="11"/>
        <v>1906.0012943999998</v>
      </c>
      <c r="J36" s="43">
        <f t="shared" si="11"/>
        <v>1906.0012943999998</v>
      </c>
      <c r="K36" s="43">
        <f t="shared" si="11"/>
        <v>2859.0019416</v>
      </c>
      <c r="L36" s="43">
        <f t="shared" si="11"/>
        <v>1906.0012943999998</v>
      </c>
      <c r="M36" s="43">
        <f t="shared" si="11"/>
        <v>1906.0012943999998</v>
      </c>
      <c r="N36" s="43">
        <f t="shared" si="11"/>
        <v>1906.0012943999998</v>
      </c>
      <c r="O36" s="43">
        <f t="shared" si="11"/>
        <v>1906.0012943999998</v>
      </c>
      <c r="P36" s="25">
        <f t="shared" ref="P36:P42" si="12">SUM(D36:O36)</f>
        <v>24778.016827200001</v>
      </c>
      <c r="Q36" s="25"/>
    </row>
    <row r="37" spans="1:17" x14ac:dyDescent="0.3">
      <c r="A37" s="26"/>
      <c r="B37" s="27" t="s">
        <v>25</v>
      </c>
      <c r="C37" s="25"/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25">
        <f t="shared" si="12"/>
        <v>0</v>
      </c>
      <c r="Q37" s="25"/>
    </row>
    <row r="38" spans="1:17" x14ac:dyDescent="0.3">
      <c r="A38" s="26"/>
      <c r="B38" s="27" t="s">
        <v>26</v>
      </c>
      <c r="C38" s="25"/>
      <c r="D38" s="43">
        <f>D35*0.12042</f>
        <v>3122.7302839679996</v>
      </c>
      <c r="E38" s="43">
        <f>E35*0.120421</f>
        <v>3122.7562159583999</v>
      </c>
      <c r="F38" s="43">
        <f t="shared" ref="F38:O38" si="13">F35*0.120421</f>
        <v>4684.1343239376001</v>
      </c>
      <c r="G38" s="43">
        <f t="shared" si="13"/>
        <v>3122.7562159583999</v>
      </c>
      <c r="H38" s="43">
        <f t="shared" si="13"/>
        <v>3122.7562159583999</v>
      </c>
      <c r="I38" s="43">
        <f t="shared" si="13"/>
        <v>3122.7562159583999</v>
      </c>
      <c r="J38" s="43">
        <f t="shared" si="13"/>
        <v>3122.7562159583999</v>
      </c>
      <c r="K38" s="43">
        <f t="shared" si="13"/>
        <v>4684.1343239376001</v>
      </c>
      <c r="L38" s="43">
        <f t="shared" si="13"/>
        <v>3122.7562159583999</v>
      </c>
      <c r="M38" s="43">
        <f t="shared" si="13"/>
        <v>3122.7562159583999</v>
      </c>
      <c r="N38" s="43">
        <f t="shared" si="13"/>
        <v>3122.7562159583999</v>
      </c>
      <c r="O38" s="43">
        <f t="shared" si="13"/>
        <v>3122.7562159583999</v>
      </c>
      <c r="P38" s="25">
        <f t="shared" si="12"/>
        <v>40595.804875468799</v>
      </c>
      <c r="Q38" s="25"/>
    </row>
    <row r="39" spans="1:17" x14ac:dyDescent="0.3">
      <c r="A39" s="26"/>
      <c r="B39" s="27" t="s">
        <v>27</v>
      </c>
      <c r="C39" s="25"/>
      <c r="D39" s="43">
        <f>D35*0.0112</f>
        <v>290.43829247999997</v>
      </c>
      <c r="E39" s="43">
        <f t="shared" ref="E39:O39" si="14">E35*0.0112</f>
        <v>290.43829247999997</v>
      </c>
      <c r="F39" s="43">
        <f t="shared" si="14"/>
        <v>435.65743872000002</v>
      </c>
      <c r="G39" s="43">
        <f t="shared" si="14"/>
        <v>290.43829247999997</v>
      </c>
      <c r="H39" s="43">
        <f t="shared" si="14"/>
        <v>290.43829247999997</v>
      </c>
      <c r="I39" s="43">
        <f t="shared" si="14"/>
        <v>290.43829247999997</v>
      </c>
      <c r="J39" s="43">
        <f t="shared" si="14"/>
        <v>290.43829247999997</v>
      </c>
      <c r="K39" s="43">
        <f t="shared" si="14"/>
        <v>435.65743872000002</v>
      </c>
      <c r="L39" s="43">
        <f t="shared" si="14"/>
        <v>290.43829247999997</v>
      </c>
      <c r="M39" s="43">
        <f t="shared" si="14"/>
        <v>290.43829247999997</v>
      </c>
      <c r="N39" s="43">
        <f t="shared" si="14"/>
        <v>290.43829247999997</v>
      </c>
      <c r="O39" s="43">
        <f t="shared" si="14"/>
        <v>290.43829247999997</v>
      </c>
      <c r="P39" s="25">
        <f t="shared" si="12"/>
        <v>3775.6978022400008</v>
      </c>
      <c r="Q39" s="65">
        <f>P39/P35</f>
        <v>1.12E-2</v>
      </c>
    </row>
    <row r="40" spans="1:17" x14ac:dyDescent="0.3">
      <c r="A40" s="26"/>
      <c r="B40" s="27" t="s">
        <v>28</v>
      </c>
      <c r="C40" s="25"/>
      <c r="D40" s="43">
        <f>D35*0.028</f>
        <v>726.09573119999993</v>
      </c>
      <c r="E40" s="43">
        <f t="shared" ref="E40:O40" si="15">E35*0.028</f>
        <v>726.09573119999993</v>
      </c>
      <c r="F40" s="43">
        <f t="shared" si="15"/>
        <v>1089.1435968000001</v>
      </c>
      <c r="G40" s="43">
        <f t="shared" si="15"/>
        <v>726.09573119999993</v>
      </c>
      <c r="H40" s="43">
        <f t="shared" si="15"/>
        <v>726.09573119999993</v>
      </c>
      <c r="I40" s="43">
        <f t="shared" si="15"/>
        <v>726.09573119999993</v>
      </c>
      <c r="J40" s="43">
        <f t="shared" si="15"/>
        <v>726.09573119999993</v>
      </c>
      <c r="K40" s="43">
        <f t="shared" si="15"/>
        <v>1089.1435968000001</v>
      </c>
      <c r="L40" s="43">
        <f t="shared" si="15"/>
        <v>726.09573119999993</v>
      </c>
      <c r="M40" s="43">
        <f t="shared" si="15"/>
        <v>726.09573119999993</v>
      </c>
      <c r="N40" s="43">
        <f t="shared" si="15"/>
        <v>726.09573119999993</v>
      </c>
      <c r="O40" s="43">
        <f t="shared" si="15"/>
        <v>726.09573119999993</v>
      </c>
      <c r="P40" s="25">
        <f t="shared" si="12"/>
        <v>9439.2445055999979</v>
      </c>
      <c r="Q40" s="25"/>
    </row>
    <row r="41" spans="1:17" x14ac:dyDescent="0.3">
      <c r="A41" s="26"/>
      <c r="B41" s="27" t="s">
        <v>29</v>
      </c>
      <c r="C41" s="25"/>
      <c r="D41" s="43">
        <f>D35*0.01373</f>
        <v>356.04622819199994</v>
      </c>
      <c r="E41" s="43">
        <f t="shared" ref="E41:O41" si="16">E35*0.01373</f>
        <v>356.04622819199994</v>
      </c>
      <c r="F41" s="43">
        <f t="shared" si="16"/>
        <v>534.06934228799992</v>
      </c>
      <c r="G41" s="43">
        <f t="shared" si="16"/>
        <v>356.04622819199994</v>
      </c>
      <c r="H41" s="43">
        <f t="shared" si="16"/>
        <v>356.04622819199994</v>
      </c>
      <c r="I41" s="43">
        <f t="shared" si="16"/>
        <v>356.04622819199994</v>
      </c>
      <c r="J41" s="43">
        <f t="shared" si="16"/>
        <v>356.04622819199994</v>
      </c>
      <c r="K41" s="43">
        <f t="shared" si="16"/>
        <v>534.06934228799992</v>
      </c>
      <c r="L41" s="43">
        <f t="shared" si="16"/>
        <v>356.04622819199994</v>
      </c>
      <c r="M41" s="43">
        <f t="shared" si="16"/>
        <v>356.04622819199994</v>
      </c>
      <c r="N41" s="43">
        <f t="shared" si="16"/>
        <v>356.04622819199994</v>
      </c>
      <c r="O41" s="43">
        <f t="shared" si="16"/>
        <v>356.04622819199994</v>
      </c>
      <c r="P41" s="25">
        <f t="shared" si="12"/>
        <v>4628.6009664959993</v>
      </c>
      <c r="Q41" s="25"/>
    </row>
    <row r="42" spans="1:17" x14ac:dyDescent="0.3">
      <c r="A42" s="26"/>
      <c r="B42" s="27" t="s">
        <v>30</v>
      </c>
      <c r="C42" s="25"/>
      <c r="D42" s="43"/>
      <c r="E42" s="43"/>
      <c r="F42" s="43"/>
      <c r="G42" s="43"/>
      <c r="H42" s="43"/>
      <c r="I42" s="43"/>
      <c r="J42" s="25"/>
      <c r="K42" s="25"/>
      <c r="L42" s="25"/>
      <c r="M42" s="25"/>
      <c r="N42" s="25"/>
      <c r="O42" s="25"/>
      <c r="P42" s="25">
        <f t="shared" si="12"/>
        <v>0</v>
      </c>
      <c r="Q42" s="25"/>
    </row>
    <row r="43" spans="1:17" x14ac:dyDescent="0.3">
      <c r="A43" s="194" t="s">
        <v>31</v>
      </c>
      <c r="B43" s="194"/>
      <c r="C43" s="25"/>
      <c r="D43" s="28">
        <f t="shared" ref="D43:I43" si="17">SUM(D35:D42)</f>
        <v>32333.302230239999</v>
      </c>
      <c r="E43" s="28">
        <f t="shared" si="17"/>
        <v>32333.328162230402</v>
      </c>
      <c r="F43" s="28">
        <f t="shared" si="17"/>
        <v>48499.992243345601</v>
      </c>
      <c r="G43" s="28">
        <f t="shared" si="17"/>
        <v>32333.328162230402</v>
      </c>
      <c r="H43" s="28">
        <f t="shared" si="17"/>
        <v>32333.328162230402</v>
      </c>
      <c r="I43" s="28">
        <f t="shared" si="17"/>
        <v>32333.328162230402</v>
      </c>
      <c r="J43" s="28">
        <f t="shared" ref="J43:P43" si="18">SUM(J35:J42)</f>
        <v>32333.328162230402</v>
      </c>
      <c r="K43" s="28">
        <f t="shared" si="18"/>
        <v>48499.992243345601</v>
      </c>
      <c r="L43" s="28">
        <f t="shared" si="18"/>
        <v>32333.328162230402</v>
      </c>
      <c r="M43" s="28">
        <f t="shared" si="18"/>
        <v>32333.328162230402</v>
      </c>
      <c r="N43" s="28">
        <f t="shared" si="18"/>
        <v>32333.328162230402</v>
      </c>
      <c r="O43" s="28">
        <f t="shared" si="18"/>
        <v>32333.328162230402</v>
      </c>
      <c r="P43" s="28">
        <f t="shared" si="18"/>
        <v>420333.24017700489</v>
      </c>
      <c r="Q43" s="29">
        <f>SUM(P35:P42)</f>
        <v>420333.24017700489</v>
      </c>
    </row>
    <row r="44" spans="1:17" x14ac:dyDescent="0.3">
      <c r="A44" s="194" t="s">
        <v>32</v>
      </c>
      <c r="B44" s="194"/>
      <c r="C44" s="25"/>
      <c r="D44" s="43"/>
      <c r="E44" s="43"/>
      <c r="F44" s="43"/>
      <c r="G44" s="43"/>
      <c r="H44" s="43"/>
      <c r="I44" s="43"/>
      <c r="J44" s="25"/>
      <c r="K44" s="25"/>
      <c r="L44" s="25"/>
      <c r="M44" s="25"/>
      <c r="N44" s="25"/>
      <c r="O44" s="25"/>
      <c r="P44" s="25"/>
      <c r="Q44" s="25"/>
    </row>
    <row r="45" spans="1:17" x14ac:dyDescent="0.3">
      <c r="A45" s="26"/>
      <c r="B45" s="27" t="s">
        <v>33</v>
      </c>
      <c r="C45" s="25"/>
      <c r="D45" s="43">
        <v>1300</v>
      </c>
      <c r="E45" s="43">
        <v>1300</v>
      </c>
      <c r="F45" s="43">
        <v>1300</v>
      </c>
      <c r="G45" s="43">
        <v>1300</v>
      </c>
      <c r="H45" s="43">
        <v>1300</v>
      </c>
      <c r="I45" s="43">
        <v>1300</v>
      </c>
      <c r="J45" s="43">
        <v>1300</v>
      </c>
      <c r="K45" s="43">
        <v>1300</v>
      </c>
      <c r="L45" s="43">
        <v>1300</v>
      </c>
      <c r="M45" s="43">
        <v>1300</v>
      </c>
      <c r="N45" s="43">
        <v>1300</v>
      </c>
      <c r="O45" s="43">
        <v>1300</v>
      </c>
      <c r="P45" s="43">
        <f t="shared" ref="P45:P52" si="19">SUM(D45:O45)</f>
        <v>15600</v>
      </c>
      <c r="Q45" s="25"/>
    </row>
    <row r="46" spans="1:17" x14ac:dyDescent="0.3">
      <c r="A46" s="26"/>
      <c r="B46" s="27" t="s">
        <v>34</v>
      </c>
      <c r="C46" s="25"/>
      <c r="D46" s="43">
        <v>300</v>
      </c>
      <c r="E46" s="43">
        <v>300</v>
      </c>
      <c r="F46" s="43">
        <v>300</v>
      </c>
      <c r="G46" s="43">
        <v>300</v>
      </c>
      <c r="H46" s="43">
        <v>300</v>
      </c>
      <c r="I46" s="43">
        <v>300</v>
      </c>
      <c r="J46" s="43">
        <v>300</v>
      </c>
      <c r="K46" s="43">
        <v>300</v>
      </c>
      <c r="L46" s="43">
        <v>300</v>
      </c>
      <c r="M46" s="43">
        <v>300</v>
      </c>
      <c r="N46" s="43">
        <v>300</v>
      </c>
      <c r="O46" s="43">
        <v>300</v>
      </c>
      <c r="P46" s="43">
        <f t="shared" si="19"/>
        <v>3600</v>
      </c>
      <c r="Q46" s="25"/>
    </row>
    <row r="47" spans="1:17" x14ac:dyDescent="0.3">
      <c r="A47" s="26"/>
      <c r="B47" s="27" t="s">
        <v>35</v>
      </c>
      <c r="C47" s="25"/>
      <c r="D47" s="43">
        <v>100</v>
      </c>
      <c r="E47" s="43">
        <v>100</v>
      </c>
      <c r="F47" s="43">
        <v>100</v>
      </c>
      <c r="G47" s="43">
        <v>100</v>
      </c>
      <c r="H47" s="43">
        <v>100</v>
      </c>
      <c r="I47" s="43">
        <v>100</v>
      </c>
      <c r="J47" s="43">
        <v>100</v>
      </c>
      <c r="K47" s="43">
        <v>100</v>
      </c>
      <c r="L47" s="43">
        <v>100</v>
      </c>
      <c r="M47" s="43">
        <v>100</v>
      </c>
      <c r="N47" s="43">
        <v>100</v>
      </c>
      <c r="O47" s="43">
        <v>100</v>
      </c>
      <c r="P47" s="43">
        <f t="shared" si="19"/>
        <v>1200</v>
      </c>
      <c r="Q47" s="25"/>
    </row>
    <row r="48" spans="1:17" x14ac:dyDescent="0.3">
      <c r="A48" s="26"/>
      <c r="B48" s="27" t="s">
        <v>36</v>
      </c>
      <c r="C48" s="25"/>
      <c r="D48" s="43">
        <v>50</v>
      </c>
      <c r="E48" s="43">
        <v>50</v>
      </c>
      <c r="F48" s="43">
        <v>50</v>
      </c>
      <c r="G48" s="43">
        <v>50</v>
      </c>
      <c r="H48" s="43">
        <v>50</v>
      </c>
      <c r="I48" s="43">
        <v>50</v>
      </c>
      <c r="J48" s="43">
        <v>50</v>
      </c>
      <c r="K48" s="43">
        <v>50</v>
      </c>
      <c r="L48" s="43">
        <v>50</v>
      </c>
      <c r="M48" s="43">
        <v>50</v>
      </c>
      <c r="N48" s="43">
        <v>50</v>
      </c>
      <c r="O48" s="43">
        <v>50</v>
      </c>
      <c r="P48" s="43">
        <f t="shared" si="19"/>
        <v>600</v>
      </c>
      <c r="Q48" s="25"/>
    </row>
    <row r="49" spans="1:17" x14ac:dyDescent="0.3">
      <c r="A49" s="26"/>
      <c r="B49" s="27" t="s">
        <v>37</v>
      </c>
      <c r="C49" s="25"/>
      <c r="D49" s="43">
        <v>30</v>
      </c>
      <c r="E49" s="43">
        <v>30</v>
      </c>
      <c r="F49" s="43">
        <v>30</v>
      </c>
      <c r="G49" s="43">
        <v>30</v>
      </c>
      <c r="H49" s="43">
        <v>30</v>
      </c>
      <c r="I49" s="43">
        <v>30</v>
      </c>
      <c r="J49" s="43">
        <v>30</v>
      </c>
      <c r="K49" s="43">
        <v>30</v>
      </c>
      <c r="L49" s="43">
        <v>30</v>
      </c>
      <c r="M49" s="43">
        <v>30</v>
      </c>
      <c r="N49" s="43">
        <v>30</v>
      </c>
      <c r="O49" s="43">
        <v>30</v>
      </c>
      <c r="P49" s="43">
        <f t="shared" si="19"/>
        <v>360</v>
      </c>
      <c r="Q49" s="25"/>
    </row>
    <row r="50" spans="1:17" s="42" customFormat="1" x14ac:dyDescent="0.3">
      <c r="A50" s="26"/>
      <c r="B50" s="92" t="s">
        <v>194</v>
      </c>
      <c r="C50" s="43"/>
      <c r="D50" s="43">
        <v>125</v>
      </c>
      <c r="E50" s="43">
        <v>125</v>
      </c>
      <c r="F50" s="43">
        <v>125</v>
      </c>
      <c r="G50" s="43">
        <v>125</v>
      </c>
      <c r="H50" s="43">
        <v>125</v>
      </c>
      <c r="I50" s="43">
        <v>125</v>
      </c>
      <c r="J50" s="43">
        <v>125</v>
      </c>
      <c r="K50" s="43">
        <v>125</v>
      </c>
      <c r="L50" s="43">
        <v>125</v>
      </c>
      <c r="M50" s="43">
        <v>125</v>
      </c>
      <c r="N50" s="43">
        <v>125</v>
      </c>
      <c r="O50" s="43">
        <v>125</v>
      </c>
      <c r="P50" s="43">
        <f t="shared" si="19"/>
        <v>1500</v>
      </c>
      <c r="Q50" s="43"/>
    </row>
    <row r="51" spans="1:17" x14ac:dyDescent="0.3">
      <c r="A51" s="26"/>
      <c r="B51" s="27" t="s">
        <v>38</v>
      </c>
      <c r="C51" s="25"/>
      <c r="D51" s="43">
        <v>270</v>
      </c>
      <c r="E51" s="43">
        <v>270</v>
      </c>
      <c r="F51" s="43">
        <v>270</v>
      </c>
      <c r="G51" s="43">
        <v>270</v>
      </c>
      <c r="H51" s="43">
        <v>270</v>
      </c>
      <c r="I51" s="43">
        <v>270</v>
      </c>
      <c r="J51" s="43">
        <v>270</v>
      </c>
      <c r="K51" s="43">
        <v>270</v>
      </c>
      <c r="L51" s="43">
        <v>270</v>
      </c>
      <c r="M51" s="43">
        <v>270</v>
      </c>
      <c r="N51" s="43">
        <v>270</v>
      </c>
      <c r="O51" s="43">
        <v>270</v>
      </c>
      <c r="P51" s="43">
        <f t="shared" si="19"/>
        <v>3240</v>
      </c>
      <c r="Q51" s="25"/>
    </row>
    <row r="52" spans="1:17" x14ac:dyDescent="0.3">
      <c r="A52" s="26"/>
      <c r="B52" s="27" t="s">
        <v>39</v>
      </c>
      <c r="C52" s="25"/>
      <c r="D52" s="43">
        <v>100</v>
      </c>
      <c r="E52" s="43">
        <v>100</v>
      </c>
      <c r="F52" s="43">
        <v>100</v>
      </c>
      <c r="G52" s="43">
        <v>100</v>
      </c>
      <c r="H52" s="43">
        <v>100</v>
      </c>
      <c r="I52" s="43">
        <v>100</v>
      </c>
      <c r="J52" s="43">
        <v>100</v>
      </c>
      <c r="K52" s="43">
        <v>100</v>
      </c>
      <c r="L52" s="43">
        <v>100</v>
      </c>
      <c r="M52" s="43">
        <v>100</v>
      </c>
      <c r="N52" s="43">
        <v>100</v>
      </c>
      <c r="O52" s="43">
        <v>100</v>
      </c>
      <c r="P52" s="43">
        <f t="shared" si="19"/>
        <v>1200</v>
      </c>
      <c r="Q52" s="25"/>
    </row>
    <row r="53" spans="1:17" x14ac:dyDescent="0.3">
      <c r="A53" s="194" t="s">
        <v>40</v>
      </c>
      <c r="B53" s="194"/>
      <c r="C53" s="25"/>
      <c r="D53" s="28">
        <f t="shared" ref="D53:I53" si="20">SUM(D45:D52)</f>
        <v>2275</v>
      </c>
      <c r="E53" s="28">
        <f t="shared" si="20"/>
        <v>2275</v>
      </c>
      <c r="F53" s="28">
        <f t="shared" si="20"/>
        <v>2275</v>
      </c>
      <c r="G53" s="28">
        <f t="shared" si="20"/>
        <v>2275</v>
      </c>
      <c r="H53" s="28">
        <f t="shared" si="20"/>
        <v>2275</v>
      </c>
      <c r="I53" s="28">
        <f t="shared" si="20"/>
        <v>2275</v>
      </c>
      <c r="J53" s="28">
        <f t="shared" ref="J53:P53" si="21">SUM(J45:J52)</f>
        <v>2275</v>
      </c>
      <c r="K53" s="28">
        <f t="shared" si="21"/>
        <v>2275</v>
      </c>
      <c r="L53" s="28">
        <f t="shared" si="21"/>
        <v>2275</v>
      </c>
      <c r="M53" s="28">
        <f t="shared" si="21"/>
        <v>2275</v>
      </c>
      <c r="N53" s="28">
        <f t="shared" si="21"/>
        <v>2275</v>
      </c>
      <c r="O53" s="28">
        <f t="shared" si="21"/>
        <v>2275</v>
      </c>
      <c r="P53" s="28">
        <f t="shared" si="21"/>
        <v>27300</v>
      </c>
      <c r="Q53" s="29">
        <f>SUM(P52)-P53</f>
        <v>-26100</v>
      </c>
    </row>
    <row r="54" spans="1:17" x14ac:dyDescent="0.3">
      <c r="A54" s="194" t="s">
        <v>41</v>
      </c>
      <c r="B54" s="194"/>
      <c r="C54" s="25"/>
      <c r="D54" s="43"/>
      <c r="E54" s="43"/>
      <c r="F54" s="43"/>
      <c r="G54" s="43"/>
      <c r="H54" s="43"/>
      <c r="I54" s="43"/>
      <c r="J54" s="25"/>
      <c r="K54" s="25"/>
      <c r="L54" s="25"/>
      <c r="M54" s="25"/>
      <c r="N54" s="25"/>
      <c r="O54" s="25"/>
      <c r="P54" s="25"/>
      <c r="Q54" s="25"/>
    </row>
    <row r="55" spans="1:17" x14ac:dyDescent="0.3">
      <c r="A55" s="26"/>
      <c r="B55" s="27" t="s">
        <v>42</v>
      </c>
      <c r="C55" s="25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25">
        <f t="shared" ref="P55:P83" si="22">SUM(D55:O55)</f>
        <v>0</v>
      </c>
      <c r="Q55" s="25"/>
    </row>
    <row r="56" spans="1:17" x14ac:dyDescent="0.3">
      <c r="A56" s="26"/>
      <c r="B56" s="27" t="s">
        <v>43</v>
      </c>
      <c r="C56" s="25"/>
      <c r="D56" s="43"/>
      <c r="E56" s="43"/>
      <c r="F56" s="43"/>
      <c r="G56" s="43"/>
      <c r="H56" s="43"/>
      <c r="I56" s="43">
        <v>250</v>
      </c>
      <c r="J56" s="43"/>
      <c r="K56" s="43"/>
      <c r="L56" s="43"/>
      <c r="M56" s="43"/>
      <c r="N56" s="43"/>
      <c r="O56" s="43"/>
      <c r="P56" s="25">
        <f t="shared" si="22"/>
        <v>250</v>
      </c>
      <c r="Q56" s="25"/>
    </row>
    <row r="57" spans="1:17" x14ac:dyDescent="0.3">
      <c r="A57" s="26"/>
      <c r="B57" s="27" t="s">
        <v>44</v>
      </c>
      <c r="C57" s="25"/>
      <c r="D57" s="43">
        <v>50</v>
      </c>
      <c r="E57" s="43">
        <v>50</v>
      </c>
      <c r="F57" s="43">
        <v>50</v>
      </c>
      <c r="G57" s="43">
        <v>50</v>
      </c>
      <c r="H57" s="43">
        <v>50</v>
      </c>
      <c r="I57" s="43">
        <v>50</v>
      </c>
      <c r="J57" s="43">
        <v>50</v>
      </c>
      <c r="K57" s="43">
        <v>50</v>
      </c>
      <c r="L57" s="43">
        <v>50</v>
      </c>
      <c r="M57" s="43">
        <v>50</v>
      </c>
      <c r="N57" s="43">
        <v>50</v>
      </c>
      <c r="O57" s="43">
        <v>50</v>
      </c>
      <c r="P57" s="25">
        <f t="shared" si="22"/>
        <v>600</v>
      </c>
      <c r="Q57" s="25"/>
    </row>
    <row r="58" spans="1:17" x14ac:dyDescent="0.3">
      <c r="A58" s="26"/>
      <c r="B58" s="27" t="s">
        <v>45</v>
      </c>
      <c r="C58" s="25"/>
      <c r="D58" s="43">
        <v>25</v>
      </c>
      <c r="E58" s="43">
        <v>25</v>
      </c>
      <c r="F58" s="43">
        <v>25</v>
      </c>
      <c r="G58" s="43">
        <v>25</v>
      </c>
      <c r="H58" s="43">
        <v>25</v>
      </c>
      <c r="I58" s="43">
        <v>25</v>
      </c>
      <c r="J58" s="43">
        <v>25</v>
      </c>
      <c r="K58" s="43">
        <v>25</v>
      </c>
      <c r="L58" s="43">
        <v>25</v>
      </c>
      <c r="M58" s="43">
        <v>25</v>
      </c>
      <c r="N58" s="43">
        <v>25</v>
      </c>
      <c r="O58" s="43">
        <v>25</v>
      </c>
      <c r="P58" s="25">
        <f t="shared" si="22"/>
        <v>300</v>
      </c>
      <c r="Q58" s="25"/>
    </row>
    <row r="59" spans="1:17" x14ac:dyDescent="0.3">
      <c r="A59" s="26"/>
      <c r="B59" s="27" t="s">
        <v>46</v>
      </c>
      <c r="C59" s="25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25">
        <f t="shared" si="22"/>
        <v>0</v>
      </c>
      <c r="Q59" s="25"/>
    </row>
    <row r="60" spans="1:17" x14ac:dyDescent="0.3">
      <c r="A60" s="26"/>
      <c r="B60" s="27" t="s">
        <v>47</v>
      </c>
      <c r="C60" s="25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25">
        <f t="shared" si="22"/>
        <v>0</v>
      </c>
      <c r="Q60" s="25"/>
    </row>
    <row r="61" spans="1:17" x14ac:dyDescent="0.3">
      <c r="A61" s="26"/>
      <c r="B61" s="27" t="s">
        <v>48</v>
      </c>
      <c r="C61" s="2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25">
        <f t="shared" si="22"/>
        <v>0</v>
      </c>
      <c r="Q61" s="25"/>
    </row>
    <row r="62" spans="1:17" x14ac:dyDescent="0.3">
      <c r="A62" s="26"/>
      <c r="B62" s="27" t="s">
        <v>49</v>
      </c>
      <c r="C62" s="25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25">
        <f t="shared" si="22"/>
        <v>0</v>
      </c>
      <c r="Q62" s="25"/>
    </row>
    <row r="63" spans="1:17" x14ac:dyDescent="0.3">
      <c r="A63" s="26"/>
      <c r="B63" s="27" t="s">
        <v>50</v>
      </c>
      <c r="C63" s="25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25">
        <f t="shared" si="22"/>
        <v>0</v>
      </c>
      <c r="Q63" s="25"/>
    </row>
    <row r="64" spans="1:17" x14ac:dyDescent="0.3">
      <c r="A64" s="26"/>
      <c r="B64" s="27" t="s">
        <v>51</v>
      </c>
      <c r="C64" s="25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25">
        <f t="shared" si="22"/>
        <v>0</v>
      </c>
      <c r="Q64" s="25"/>
    </row>
    <row r="65" spans="1:17" x14ac:dyDescent="0.3">
      <c r="A65" s="26"/>
      <c r="B65" s="27" t="s">
        <v>52</v>
      </c>
      <c r="C65" s="25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5">
        <f t="shared" si="22"/>
        <v>0</v>
      </c>
      <c r="Q65" s="25"/>
    </row>
    <row r="66" spans="1:17" x14ac:dyDescent="0.3">
      <c r="A66" s="26"/>
      <c r="B66" s="27" t="s">
        <v>53</v>
      </c>
      <c r="C66" s="25"/>
      <c r="D66" s="43">
        <v>25</v>
      </c>
      <c r="E66" s="43">
        <v>25</v>
      </c>
      <c r="F66" s="43">
        <v>25</v>
      </c>
      <c r="G66" s="43">
        <v>25</v>
      </c>
      <c r="H66" s="43">
        <v>25</v>
      </c>
      <c r="I66" s="43">
        <v>25</v>
      </c>
      <c r="J66" s="43">
        <v>25</v>
      </c>
      <c r="K66" s="43">
        <v>25</v>
      </c>
      <c r="L66" s="43">
        <v>25</v>
      </c>
      <c r="M66" s="43">
        <v>25</v>
      </c>
      <c r="N66" s="43">
        <v>25</v>
      </c>
      <c r="O66" s="43">
        <v>25</v>
      </c>
      <c r="P66" s="25">
        <f t="shared" si="22"/>
        <v>300</v>
      </c>
      <c r="Q66" s="25"/>
    </row>
    <row r="67" spans="1:17" x14ac:dyDescent="0.3">
      <c r="A67" s="26"/>
      <c r="B67" s="27" t="s">
        <v>54</v>
      </c>
      <c r="C67" s="25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25">
        <f t="shared" si="22"/>
        <v>0</v>
      </c>
      <c r="Q67" s="25"/>
    </row>
    <row r="68" spans="1:17" x14ac:dyDescent="0.3">
      <c r="A68" s="26"/>
      <c r="B68" s="27" t="s">
        <v>55</v>
      </c>
      <c r="C68" s="25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25">
        <f t="shared" si="22"/>
        <v>0</v>
      </c>
      <c r="Q68" s="25"/>
    </row>
    <row r="69" spans="1:17" x14ac:dyDescent="0.3">
      <c r="A69" s="26"/>
      <c r="B69" s="27" t="s">
        <v>56</v>
      </c>
      <c r="C69" s="25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25">
        <f t="shared" si="22"/>
        <v>0</v>
      </c>
      <c r="Q69" s="25"/>
    </row>
    <row r="70" spans="1:17" x14ac:dyDescent="0.3">
      <c r="A70" s="26"/>
      <c r="B70" s="27" t="s">
        <v>57</v>
      </c>
      <c r="C70" s="25"/>
      <c r="D70" s="43">
        <v>46</v>
      </c>
      <c r="E70" s="43">
        <v>46</v>
      </c>
      <c r="F70" s="43">
        <v>46</v>
      </c>
      <c r="G70" s="43">
        <v>46</v>
      </c>
      <c r="H70" s="43">
        <v>46</v>
      </c>
      <c r="I70" s="43">
        <v>46</v>
      </c>
      <c r="J70" s="43">
        <v>46</v>
      </c>
      <c r="K70" s="43">
        <v>46</v>
      </c>
      <c r="L70" s="43">
        <v>46</v>
      </c>
      <c r="M70" s="43">
        <v>46</v>
      </c>
      <c r="N70" s="43">
        <v>46</v>
      </c>
      <c r="O70" s="43">
        <v>46</v>
      </c>
      <c r="P70" s="25">
        <f t="shared" si="22"/>
        <v>552</v>
      </c>
      <c r="Q70" s="25"/>
    </row>
    <row r="71" spans="1:17" x14ac:dyDescent="0.3">
      <c r="A71" s="26"/>
      <c r="B71" s="27" t="s">
        <v>58</v>
      </c>
      <c r="C71" s="2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25">
        <f t="shared" si="22"/>
        <v>0</v>
      </c>
      <c r="Q71" s="25"/>
    </row>
    <row r="72" spans="1:17" x14ac:dyDescent="0.3">
      <c r="A72" s="26"/>
      <c r="B72" s="27" t="s">
        <v>59</v>
      </c>
      <c r="C72" s="25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25">
        <f t="shared" si="22"/>
        <v>0</v>
      </c>
      <c r="Q72" s="25"/>
    </row>
    <row r="73" spans="1:17" x14ac:dyDescent="0.3">
      <c r="A73" s="26"/>
      <c r="B73" s="27" t="s">
        <v>60</v>
      </c>
      <c r="C73" s="2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25">
        <f t="shared" si="22"/>
        <v>0</v>
      </c>
      <c r="Q73" s="25"/>
    </row>
    <row r="74" spans="1:17" x14ac:dyDescent="0.3">
      <c r="A74" s="26"/>
      <c r="B74" s="27" t="s">
        <v>61</v>
      </c>
      <c r="C74" s="25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25">
        <f t="shared" si="22"/>
        <v>0</v>
      </c>
      <c r="Q74" s="25"/>
    </row>
    <row r="75" spans="1:17" x14ac:dyDescent="0.3">
      <c r="A75" s="26"/>
      <c r="B75" s="27" t="s">
        <v>62</v>
      </c>
      <c r="C75" s="25"/>
      <c r="D75" s="43"/>
      <c r="E75" s="43"/>
      <c r="F75" s="43"/>
      <c r="G75" s="43"/>
      <c r="H75" s="43"/>
      <c r="I75" s="43"/>
      <c r="J75" s="43"/>
      <c r="K75" s="43"/>
      <c r="L75" s="43">
        <v>875</v>
      </c>
      <c r="M75" s="43">
        <v>500</v>
      </c>
      <c r="N75" s="43"/>
      <c r="O75" s="43"/>
      <c r="P75" s="43">
        <f t="shared" si="22"/>
        <v>1375</v>
      </c>
      <c r="Q75" s="25" t="s">
        <v>223</v>
      </c>
    </row>
    <row r="76" spans="1:17" x14ac:dyDescent="0.3">
      <c r="A76" s="26"/>
      <c r="B76" s="27" t="s">
        <v>63</v>
      </c>
      <c r="C76" s="25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25">
        <f t="shared" si="22"/>
        <v>0</v>
      </c>
      <c r="Q76" s="25"/>
    </row>
    <row r="77" spans="1:17" x14ac:dyDescent="0.3">
      <c r="A77" s="27" t="s">
        <v>17</v>
      </c>
      <c r="B77" s="27" t="s">
        <v>64</v>
      </c>
      <c r="C77" s="25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25">
        <f t="shared" si="22"/>
        <v>0</v>
      </c>
      <c r="Q77" s="25"/>
    </row>
    <row r="78" spans="1:17" x14ac:dyDescent="0.3">
      <c r="A78" s="26"/>
      <c r="B78" s="27" t="s">
        <v>65</v>
      </c>
      <c r="C78" s="25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25">
        <f t="shared" si="22"/>
        <v>0</v>
      </c>
      <c r="Q78" s="25"/>
    </row>
    <row r="79" spans="1:17" x14ac:dyDescent="0.3">
      <c r="A79" s="26"/>
      <c r="B79" s="26"/>
      <c r="C79" s="25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25">
        <f t="shared" si="22"/>
        <v>0</v>
      </c>
      <c r="Q79" s="25"/>
    </row>
    <row r="80" spans="1:17" x14ac:dyDescent="0.3">
      <c r="A80" s="26"/>
      <c r="B80" s="27"/>
      <c r="C80" s="25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25">
        <f t="shared" si="22"/>
        <v>0</v>
      </c>
      <c r="Q80" s="25"/>
    </row>
    <row r="81" spans="1:18" x14ac:dyDescent="0.3">
      <c r="A81" s="26"/>
      <c r="B81" s="27"/>
      <c r="C81" s="25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25">
        <f t="shared" si="22"/>
        <v>0</v>
      </c>
      <c r="Q81" s="25"/>
    </row>
    <row r="82" spans="1:18" x14ac:dyDescent="0.3">
      <c r="A82" s="26"/>
      <c r="B82" s="27"/>
      <c r="C82" s="25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25">
        <f t="shared" si="22"/>
        <v>0</v>
      </c>
      <c r="Q82" s="25"/>
      <c r="R82">
        <f>35*8*52*1.2</f>
        <v>17472</v>
      </c>
    </row>
    <row r="83" spans="1:18" x14ac:dyDescent="0.3">
      <c r="A83" s="26"/>
      <c r="B83" s="27"/>
      <c r="C83" s="25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25">
        <f t="shared" si="22"/>
        <v>0</v>
      </c>
      <c r="Q83" s="25"/>
    </row>
    <row r="84" spans="1:18" x14ac:dyDescent="0.3">
      <c r="A84" s="194" t="s">
        <v>66</v>
      </c>
      <c r="B84" s="194"/>
      <c r="C84" s="25"/>
      <c r="D84" s="28">
        <f t="shared" ref="D84:I84" si="23">SUM(D56:D83)</f>
        <v>146</v>
      </c>
      <c r="E84" s="28">
        <f t="shared" si="23"/>
        <v>146</v>
      </c>
      <c r="F84" s="28">
        <f t="shared" si="23"/>
        <v>146</v>
      </c>
      <c r="G84" s="28">
        <f t="shared" si="23"/>
        <v>146</v>
      </c>
      <c r="H84" s="28">
        <f t="shared" si="23"/>
        <v>146</v>
      </c>
      <c r="I84" s="28">
        <f t="shared" si="23"/>
        <v>396</v>
      </c>
      <c r="J84" s="28">
        <f t="shared" ref="J84:P84" si="24">SUM(J56:J83)</f>
        <v>146</v>
      </c>
      <c r="K84" s="28">
        <f t="shared" si="24"/>
        <v>146</v>
      </c>
      <c r="L84" s="28">
        <f t="shared" si="24"/>
        <v>1021</v>
      </c>
      <c r="M84" s="28">
        <f t="shared" si="24"/>
        <v>646</v>
      </c>
      <c r="N84" s="28">
        <f t="shared" si="24"/>
        <v>146</v>
      </c>
      <c r="O84" s="28">
        <f t="shared" si="24"/>
        <v>146</v>
      </c>
      <c r="P84" s="28">
        <f t="shared" si="24"/>
        <v>3377</v>
      </c>
      <c r="Q84" s="29">
        <f>SUM(P55:P83)-P84</f>
        <v>0</v>
      </c>
    </row>
    <row r="85" spans="1:18" x14ac:dyDescent="0.3">
      <c r="A85" s="194" t="s">
        <v>67</v>
      </c>
      <c r="B85" s="194"/>
      <c r="C85" s="25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25"/>
      <c r="Q85" s="25"/>
    </row>
    <row r="86" spans="1:18" x14ac:dyDescent="0.3">
      <c r="A86" s="26"/>
      <c r="B86" s="27" t="s">
        <v>68</v>
      </c>
      <c r="C86" s="25"/>
      <c r="D86" s="43">
        <v>300</v>
      </c>
      <c r="E86" s="43">
        <v>400</v>
      </c>
      <c r="F86" s="43">
        <v>350</v>
      </c>
      <c r="G86" s="43">
        <v>325</v>
      </c>
      <c r="H86" s="43">
        <v>325</v>
      </c>
      <c r="I86" s="43">
        <v>450</v>
      </c>
      <c r="J86" s="43">
        <v>650</v>
      </c>
      <c r="K86" s="43">
        <v>650</v>
      </c>
      <c r="L86" s="43">
        <v>550</v>
      </c>
      <c r="M86" s="43">
        <v>400</v>
      </c>
      <c r="N86" s="43">
        <v>300</v>
      </c>
      <c r="O86" s="43">
        <v>100</v>
      </c>
      <c r="P86" s="25">
        <f t="shared" ref="P86:P104" si="25">SUM(D86:O86)</f>
        <v>4800</v>
      </c>
      <c r="Q86" s="25"/>
    </row>
    <row r="87" spans="1:18" x14ac:dyDescent="0.3">
      <c r="A87" s="26"/>
      <c r="B87" s="27" t="s">
        <v>69</v>
      </c>
      <c r="C87" s="25"/>
      <c r="D87" s="43">
        <v>130</v>
      </c>
      <c r="E87" s="43">
        <v>130</v>
      </c>
      <c r="F87" s="43">
        <v>130</v>
      </c>
      <c r="G87" s="43">
        <v>130</v>
      </c>
      <c r="H87" s="43">
        <v>130</v>
      </c>
      <c r="I87" s="43">
        <v>150</v>
      </c>
      <c r="J87" s="43">
        <v>150</v>
      </c>
      <c r="K87" s="43">
        <v>150</v>
      </c>
      <c r="L87" s="43">
        <v>175</v>
      </c>
      <c r="M87" s="43">
        <v>175</v>
      </c>
      <c r="N87" s="43">
        <v>175</v>
      </c>
      <c r="O87" s="43">
        <v>175</v>
      </c>
      <c r="P87" s="25">
        <f t="shared" si="25"/>
        <v>1800</v>
      </c>
      <c r="Q87" s="25"/>
    </row>
    <row r="88" spans="1:18" x14ac:dyDescent="0.3">
      <c r="A88" s="26"/>
      <c r="B88" s="27" t="s">
        <v>70</v>
      </c>
      <c r="C88" s="25"/>
      <c r="D88" s="43">
        <v>350</v>
      </c>
      <c r="E88" s="43">
        <v>250</v>
      </c>
      <c r="F88" s="43">
        <v>150</v>
      </c>
      <c r="G88" s="43">
        <v>250</v>
      </c>
      <c r="H88" s="43">
        <v>600</v>
      </c>
      <c r="I88" s="43">
        <v>300</v>
      </c>
      <c r="J88" s="43">
        <v>300</v>
      </c>
      <c r="K88" s="43">
        <v>300</v>
      </c>
      <c r="L88" s="43">
        <v>225</v>
      </c>
      <c r="M88" s="43">
        <v>250</v>
      </c>
      <c r="N88" s="43">
        <v>225</v>
      </c>
      <c r="O88" s="43">
        <v>225</v>
      </c>
      <c r="P88" s="25">
        <f t="shared" si="25"/>
        <v>3425</v>
      </c>
      <c r="Q88" s="25"/>
    </row>
    <row r="89" spans="1:18" x14ac:dyDescent="0.3">
      <c r="A89" s="26"/>
      <c r="B89" s="27" t="s">
        <v>71</v>
      </c>
      <c r="C89" s="25"/>
      <c r="D89" s="43">
        <v>575</v>
      </c>
      <c r="E89" s="43">
        <v>575</v>
      </c>
      <c r="F89" s="43">
        <v>575</v>
      </c>
      <c r="G89" s="43">
        <v>575</v>
      </c>
      <c r="H89" s="43">
        <v>575</v>
      </c>
      <c r="I89" s="43">
        <v>575</v>
      </c>
      <c r="J89" s="43">
        <v>575</v>
      </c>
      <c r="K89" s="43">
        <v>575</v>
      </c>
      <c r="L89" s="43">
        <v>575</v>
      </c>
      <c r="M89" s="43">
        <v>575</v>
      </c>
      <c r="N89" s="43">
        <v>575</v>
      </c>
      <c r="O89" s="43">
        <v>575</v>
      </c>
      <c r="P89" s="25">
        <f t="shared" si="25"/>
        <v>6900</v>
      </c>
      <c r="Q89" s="25"/>
    </row>
    <row r="90" spans="1:18" x14ac:dyDescent="0.3">
      <c r="A90" s="26"/>
      <c r="B90" s="27" t="s">
        <v>72</v>
      </c>
      <c r="C90" s="25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25">
        <f t="shared" si="25"/>
        <v>0</v>
      </c>
      <c r="Q90" s="25"/>
    </row>
    <row r="91" spans="1:18" x14ac:dyDescent="0.3">
      <c r="A91" s="26"/>
      <c r="B91" s="27" t="s">
        <v>73</v>
      </c>
      <c r="C91" s="25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25">
        <f t="shared" si="25"/>
        <v>0</v>
      </c>
      <c r="Q91" s="25"/>
    </row>
    <row r="92" spans="1:18" x14ac:dyDescent="0.3">
      <c r="A92" s="26"/>
      <c r="B92" s="27" t="s">
        <v>74</v>
      </c>
      <c r="C92" s="25"/>
      <c r="D92" s="43">
        <v>50</v>
      </c>
      <c r="E92" s="43">
        <v>50</v>
      </c>
      <c r="F92" s="43">
        <v>50</v>
      </c>
      <c r="G92" s="43">
        <v>50</v>
      </c>
      <c r="H92" s="43">
        <v>50</v>
      </c>
      <c r="I92" s="43">
        <v>50</v>
      </c>
      <c r="J92" s="43">
        <v>50</v>
      </c>
      <c r="K92" s="43">
        <v>50</v>
      </c>
      <c r="L92" s="43">
        <v>50</v>
      </c>
      <c r="M92" s="43">
        <v>50</v>
      </c>
      <c r="N92" s="43">
        <v>50</v>
      </c>
      <c r="O92" s="43">
        <v>50</v>
      </c>
      <c r="P92" s="25">
        <f t="shared" si="25"/>
        <v>600</v>
      </c>
      <c r="Q92" s="25"/>
    </row>
    <row r="93" spans="1:18" x14ac:dyDescent="0.3">
      <c r="A93" s="26"/>
      <c r="B93" s="27" t="s">
        <v>75</v>
      </c>
      <c r="C93" s="25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25">
        <f t="shared" si="25"/>
        <v>0</v>
      </c>
      <c r="Q93" s="25"/>
    </row>
    <row r="94" spans="1:18" x14ac:dyDescent="0.3">
      <c r="A94" s="26"/>
      <c r="B94" s="27" t="s">
        <v>76</v>
      </c>
      <c r="C94" s="25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25">
        <f t="shared" si="25"/>
        <v>0</v>
      </c>
      <c r="Q94" s="25"/>
    </row>
    <row r="95" spans="1:18" x14ac:dyDescent="0.3">
      <c r="A95" s="26"/>
      <c r="B95" s="27" t="s">
        <v>77</v>
      </c>
      <c r="C95" s="25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25">
        <f t="shared" si="25"/>
        <v>0</v>
      </c>
      <c r="Q95" s="25"/>
    </row>
    <row r="96" spans="1:18" x14ac:dyDescent="0.3">
      <c r="A96" s="26"/>
      <c r="B96" s="27" t="s">
        <v>78</v>
      </c>
      <c r="C96" s="25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25">
        <f t="shared" si="25"/>
        <v>0</v>
      </c>
      <c r="Q96" s="25"/>
    </row>
    <row r="97" spans="1:17" x14ac:dyDescent="0.3">
      <c r="A97" s="26"/>
      <c r="B97" s="27" t="s">
        <v>79</v>
      </c>
      <c r="C97" s="25"/>
      <c r="D97" s="43">
        <v>700</v>
      </c>
      <c r="E97" s="43">
        <v>700</v>
      </c>
      <c r="F97" s="43">
        <v>700</v>
      </c>
      <c r="G97" s="43">
        <v>700</v>
      </c>
      <c r="H97" s="43">
        <v>700</v>
      </c>
      <c r="I97" s="43">
        <v>700</v>
      </c>
      <c r="J97" s="43">
        <v>700</v>
      </c>
      <c r="K97" s="43">
        <v>700</v>
      </c>
      <c r="L97" s="43">
        <v>700</v>
      </c>
      <c r="M97" s="43">
        <v>700</v>
      </c>
      <c r="N97" s="43">
        <v>700</v>
      </c>
      <c r="O97" s="43">
        <v>700</v>
      </c>
      <c r="P97" s="25">
        <f t="shared" si="25"/>
        <v>8400</v>
      </c>
      <c r="Q97" s="25"/>
    </row>
    <row r="98" spans="1:17" x14ac:dyDescent="0.3">
      <c r="A98" s="26"/>
      <c r="B98" s="27" t="s">
        <v>80</v>
      </c>
      <c r="C98" s="25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25">
        <f t="shared" si="25"/>
        <v>0</v>
      </c>
      <c r="Q98" s="25"/>
    </row>
    <row r="99" spans="1:17" x14ac:dyDescent="0.3">
      <c r="A99" s="26"/>
      <c r="B99" s="27" t="s">
        <v>81</v>
      </c>
      <c r="C99" s="25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25">
        <f t="shared" si="25"/>
        <v>0</v>
      </c>
      <c r="Q99" s="25"/>
    </row>
    <row r="100" spans="1:17" x14ac:dyDescent="0.3">
      <c r="A100" s="26"/>
      <c r="B100" s="27" t="s">
        <v>82</v>
      </c>
      <c r="C100" s="25"/>
      <c r="D100" s="43"/>
      <c r="E100" s="43"/>
      <c r="F100" s="43"/>
      <c r="G100" s="43">
        <v>460</v>
      </c>
      <c r="H100" s="43"/>
      <c r="I100" s="43"/>
      <c r="J100" s="43"/>
      <c r="K100" s="43"/>
      <c r="L100" s="43"/>
      <c r="M100" s="43"/>
      <c r="N100" s="43"/>
      <c r="O100" s="43"/>
      <c r="P100" s="25">
        <f t="shared" si="25"/>
        <v>460</v>
      </c>
      <c r="Q100" s="25"/>
    </row>
    <row r="101" spans="1:17" x14ac:dyDescent="0.3">
      <c r="A101" s="26"/>
      <c r="B101" s="27" t="s">
        <v>83</v>
      </c>
      <c r="C101" s="25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25">
        <f t="shared" si="25"/>
        <v>0</v>
      </c>
      <c r="Q101" s="25"/>
    </row>
    <row r="102" spans="1:17" x14ac:dyDescent="0.3">
      <c r="A102" s="26"/>
      <c r="B102" s="26"/>
      <c r="C102" s="25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25">
        <f t="shared" si="25"/>
        <v>0</v>
      </c>
      <c r="Q102" s="25"/>
    </row>
    <row r="103" spans="1:17" x14ac:dyDescent="0.3">
      <c r="A103" s="26"/>
      <c r="B103" s="27"/>
      <c r="C103" s="25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25">
        <f t="shared" si="25"/>
        <v>0</v>
      </c>
      <c r="Q103" s="25"/>
    </row>
    <row r="104" spans="1:17" x14ac:dyDescent="0.3">
      <c r="A104" s="26"/>
      <c r="B104" s="27"/>
      <c r="C104" s="25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25">
        <f t="shared" si="25"/>
        <v>0</v>
      </c>
      <c r="Q104" s="25"/>
    </row>
    <row r="105" spans="1:17" x14ac:dyDescent="0.3">
      <c r="A105" s="194" t="s">
        <v>84</v>
      </c>
      <c r="B105" s="194"/>
      <c r="C105" s="25"/>
      <c r="D105" s="30">
        <f t="shared" ref="D105:I105" si="26">SUM(D86:D104)</f>
        <v>2105</v>
      </c>
      <c r="E105" s="30">
        <f t="shared" si="26"/>
        <v>2105</v>
      </c>
      <c r="F105" s="30">
        <f t="shared" si="26"/>
        <v>1955</v>
      </c>
      <c r="G105" s="30">
        <f t="shared" si="26"/>
        <v>2490</v>
      </c>
      <c r="H105" s="30">
        <f t="shared" si="26"/>
        <v>2380</v>
      </c>
      <c r="I105" s="30">
        <f t="shared" si="26"/>
        <v>2225</v>
      </c>
      <c r="J105" s="30">
        <f t="shared" ref="J105:P105" si="27">SUM(J86:J104)</f>
        <v>2425</v>
      </c>
      <c r="K105" s="30">
        <f t="shared" si="27"/>
        <v>2425</v>
      </c>
      <c r="L105" s="30">
        <f t="shared" si="27"/>
        <v>2275</v>
      </c>
      <c r="M105" s="30">
        <f t="shared" si="27"/>
        <v>2150</v>
      </c>
      <c r="N105" s="30">
        <f t="shared" si="27"/>
        <v>2025</v>
      </c>
      <c r="O105" s="30">
        <f t="shared" si="27"/>
        <v>1825</v>
      </c>
      <c r="P105" s="30">
        <f t="shared" si="27"/>
        <v>26385</v>
      </c>
      <c r="Q105" s="29">
        <f>SUM(P86:P104)-P105</f>
        <v>0</v>
      </c>
    </row>
    <row r="106" spans="1:17" x14ac:dyDescent="0.3">
      <c r="A106" s="26"/>
      <c r="B106" s="27" t="s">
        <v>85</v>
      </c>
      <c r="C106" s="25"/>
      <c r="D106" s="30">
        <f t="shared" ref="D106:I106" si="28">D105+D84+D53+D43</f>
        <v>36859.302230239999</v>
      </c>
      <c r="E106" s="30">
        <f t="shared" si="28"/>
        <v>36859.328162230406</v>
      </c>
      <c r="F106" s="30">
        <f t="shared" si="28"/>
        <v>52875.992243345601</v>
      </c>
      <c r="G106" s="30">
        <f t="shared" si="28"/>
        <v>37244.328162230406</v>
      </c>
      <c r="H106" s="30">
        <f t="shared" si="28"/>
        <v>37134.328162230406</v>
      </c>
      <c r="I106" s="30">
        <f t="shared" si="28"/>
        <v>37229.328162230406</v>
      </c>
      <c r="J106" s="30">
        <f t="shared" ref="J106:P106" si="29">J105+J84+J53+J43</f>
        <v>37179.328162230406</v>
      </c>
      <c r="K106" s="30">
        <f t="shared" si="29"/>
        <v>53345.992243345601</v>
      </c>
      <c r="L106" s="30">
        <f t="shared" si="29"/>
        <v>37904.328162230406</v>
      </c>
      <c r="M106" s="30">
        <f t="shared" si="29"/>
        <v>37404.328162230406</v>
      </c>
      <c r="N106" s="30">
        <f t="shared" si="29"/>
        <v>36779.328162230406</v>
      </c>
      <c r="O106" s="30">
        <f t="shared" si="29"/>
        <v>36579.328162230406</v>
      </c>
      <c r="P106" s="30">
        <f t="shared" si="29"/>
        <v>477395.24017700489</v>
      </c>
      <c r="Q106" s="25"/>
    </row>
    <row r="107" spans="1:17" x14ac:dyDescent="0.3">
      <c r="A107" s="26"/>
      <c r="B107" s="27" t="s">
        <v>86</v>
      </c>
      <c r="C107" s="25"/>
      <c r="D107" s="43"/>
      <c r="E107" s="43"/>
      <c r="F107" s="43"/>
      <c r="G107" s="43"/>
      <c r="H107" s="43"/>
      <c r="I107" s="43"/>
      <c r="J107" s="25"/>
      <c r="K107" s="25"/>
      <c r="L107" s="25"/>
      <c r="M107" s="25"/>
      <c r="N107" s="25"/>
      <c r="O107" s="25"/>
      <c r="P107" s="25"/>
      <c r="Q107" s="25"/>
    </row>
    <row r="108" spans="1:17" x14ac:dyDescent="0.3">
      <c r="A108" s="25"/>
      <c r="B108" s="25"/>
      <c r="C108" s="25"/>
      <c r="D108" s="43"/>
      <c r="E108" s="43"/>
      <c r="F108" s="43"/>
      <c r="G108" s="43"/>
      <c r="H108" s="43"/>
      <c r="I108" s="43"/>
      <c r="J108" s="25"/>
      <c r="K108" s="25"/>
      <c r="L108" s="25"/>
      <c r="M108" s="25"/>
      <c r="N108" s="25"/>
      <c r="O108" s="25"/>
      <c r="P108" s="25"/>
      <c r="Q108" s="25"/>
    </row>
    <row r="109" spans="1:17" ht="15" thickBot="1" x14ac:dyDescent="0.35">
      <c r="A109" s="25"/>
      <c r="B109" s="25" t="s">
        <v>112</v>
      </c>
      <c r="C109" s="25"/>
      <c r="D109" s="31">
        <f t="shared" ref="D109:I109" si="30">D32-D106-D107</f>
        <v>-9525.0567302399977</v>
      </c>
      <c r="E109" s="31">
        <f t="shared" si="30"/>
        <v>-11831.274162230406</v>
      </c>
      <c r="F109" s="31">
        <f t="shared" si="30"/>
        <v>-25541.7467433456</v>
      </c>
      <c r="G109" s="31">
        <f t="shared" si="30"/>
        <v>-10843.828162230409</v>
      </c>
      <c r="H109" s="31">
        <f t="shared" si="30"/>
        <v>-9800.0826622304048</v>
      </c>
      <c r="I109" s="31">
        <f t="shared" si="30"/>
        <v>-10480.34916223041</v>
      </c>
      <c r="J109" s="31">
        <f t="shared" ref="J109:P109" si="31">J32-J106-J107</f>
        <v>-9845.0826622304048</v>
      </c>
      <c r="K109" s="31">
        <f t="shared" si="31"/>
        <v>-26011.7467433456</v>
      </c>
      <c r="L109" s="31">
        <f t="shared" si="31"/>
        <v>-11155.34916223041</v>
      </c>
      <c r="M109" s="31">
        <f t="shared" si="31"/>
        <v>-10070.082662230405</v>
      </c>
      <c r="N109" s="31">
        <f t="shared" si="31"/>
        <v>-10030.34916223041</v>
      </c>
      <c r="O109" s="31">
        <f t="shared" si="31"/>
        <v>-9245.0826622304048</v>
      </c>
      <c r="P109" s="31">
        <f t="shared" si="31"/>
        <v>-154380.03067700489</v>
      </c>
      <c r="Q109" s="25"/>
    </row>
    <row r="110" spans="1:17" ht="15" thickTop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1:17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161"/>
  <sheetViews>
    <sheetView workbookViewId="0">
      <pane xSplit="3" ySplit="3" topLeftCell="D19" activePane="bottomRight" state="frozen"/>
      <selection pane="topRight" activeCell="D1" sqref="D1"/>
      <selection pane="bottomLeft" activeCell="A4" sqref="A4"/>
      <selection pane="bottomRight" activeCell="T9" sqref="T9"/>
    </sheetView>
  </sheetViews>
  <sheetFormatPr defaultRowHeight="14.4" x14ac:dyDescent="0.3"/>
  <cols>
    <col min="2" max="2" width="31.44140625" customWidth="1"/>
    <col min="3" max="3" width="2.44140625" customWidth="1"/>
  </cols>
  <sheetData>
    <row r="1" spans="1:18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x14ac:dyDescent="0.3">
      <c r="A3" s="25"/>
      <c r="B3" s="25"/>
      <c r="C3" s="25"/>
      <c r="D3" s="46" t="s">
        <v>100</v>
      </c>
      <c r="E3" s="46" t="s">
        <v>101</v>
      </c>
      <c r="F3" s="54" t="s">
        <v>102</v>
      </c>
      <c r="G3" s="54" t="s">
        <v>103</v>
      </c>
      <c r="H3" s="54" t="s">
        <v>104</v>
      </c>
      <c r="I3" s="54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  <c r="Q3" s="25"/>
      <c r="R3" s="25"/>
    </row>
    <row r="4" spans="1:18" x14ac:dyDescent="0.3">
      <c r="A4" s="194" t="s">
        <v>99</v>
      </c>
      <c r="B4" s="194"/>
      <c r="C4" s="25"/>
      <c r="D4" s="43"/>
      <c r="E4" s="43"/>
      <c r="F4" s="43"/>
      <c r="G4" s="43"/>
      <c r="H4" s="43"/>
      <c r="I4" s="43"/>
      <c r="J4" s="25"/>
      <c r="K4" s="25"/>
      <c r="L4" s="25"/>
      <c r="M4" s="25"/>
      <c r="N4" s="25"/>
      <c r="O4" s="25"/>
      <c r="P4" s="25"/>
      <c r="Q4" s="25"/>
      <c r="R4" s="25"/>
    </row>
    <row r="5" spans="1:18" x14ac:dyDescent="0.3">
      <c r="A5" s="194" t="s">
        <v>1</v>
      </c>
      <c r="B5" s="194"/>
      <c r="C5" s="25"/>
      <c r="D5" s="43"/>
      <c r="E5" s="43"/>
      <c r="F5" s="43"/>
      <c r="G5" s="43"/>
      <c r="H5" s="43"/>
      <c r="I5" s="43"/>
      <c r="J5" s="25"/>
      <c r="K5" s="25"/>
      <c r="L5" s="25"/>
      <c r="M5" s="25"/>
      <c r="N5" s="25"/>
      <c r="O5" s="25"/>
      <c r="P5" s="25"/>
      <c r="Q5" s="25"/>
      <c r="R5" s="25"/>
    </row>
    <row r="6" spans="1:18" x14ac:dyDescent="0.3">
      <c r="A6" s="26"/>
      <c r="B6" s="94" t="s">
        <v>2</v>
      </c>
      <c r="C6" s="25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86">
        <f t="shared" ref="P6:P11" si="0">SUM(D6:O6)</f>
        <v>0</v>
      </c>
      <c r="Q6" s="25"/>
      <c r="R6" s="25"/>
    </row>
    <row r="7" spans="1:18" x14ac:dyDescent="0.3">
      <c r="A7" s="26"/>
      <c r="B7" s="94" t="s">
        <v>204</v>
      </c>
      <c r="C7" s="25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25">
        <f t="shared" si="0"/>
        <v>0</v>
      </c>
      <c r="Q7" s="25"/>
      <c r="R7" s="25"/>
    </row>
    <row r="8" spans="1:18" s="42" customFormat="1" x14ac:dyDescent="0.3">
      <c r="A8" s="26"/>
      <c r="B8" s="94" t="s">
        <v>205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>
        <f t="shared" si="0"/>
        <v>0</v>
      </c>
      <c r="Q8" s="43"/>
      <c r="R8" s="43"/>
    </row>
    <row r="9" spans="1:18" x14ac:dyDescent="0.3">
      <c r="A9" s="26"/>
      <c r="B9" s="94" t="s">
        <v>4</v>
      </c>
      <c r="C9" s="25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>
        <f t="shared" si="0"/>
        <v>0</v>
      </c>
      <c r="Q9" s="25"/>
      <c r="R9" s="25"/>
    </row>
    <row r="10" spans="1:18" s="42" customFormat="1" x14ac:dyDescent="0.3">
      <c r="A10" s="26"/>
      <c r="B10" s="94" t="s">
        <v>206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 t="shared" si="0"/>
        <v>0</v>
      </c>
      <c r="Q10" s="43"/>
      <c r="R10" s="43"/>
    </row>
    <row r="11" spans="1:18" x14ac:dyDescent="0.3">
      <c r="A11" s="26"/>
      <c r="B11" s="94" t="s">
        <v>207</v>
      </c>
      <c r="C11" s="25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25">
        <f t="shared" si="0"/>
        <v>0</v>
      </c>
      <c r="Q11" s="25"/>
      <c r="R11" s="25"/>
    </row>
    <row r="12" spans="1:18" x14ac:dyDescent="0.3">
      <c r="A12" s="194" t="s">
        <v>6</v>
      </c>
      <c r="B12" s="194"/>
      <c r="C12" s="25"/>
      <c r="D12" s="28">
        <f t="shared" ref="D12:I12" si="1">SUM(D6:D11)</f>
        <v>0</v>
      </c>
      <c r="E12" s="28">
        <f t="shared" si="1"/>
        <v>0</v>
      </c>
      <c r="F12" s="28">
        <f t="shared" si="1"/>
        <v>0</v>
      </c>
      <c r="G12" s="28">
        <f t="shared" si="1"/>
        <v>0</v>
      </c>
      <c r="H12" s="28">
        <f t="shared" si="1"/>
        <v>0</v>
      </c>
      <c r="I12" s="28">
        <f t="shared" si="1"/>
        <v>0</v>
      </c>
      <c r="J12" s="28">
        <f t="shared" ref="J12:P12" si="2">SUM(J6:J11)</f>
        <v>0</v>
      </c>
      <c r="K12" s="28">
        <f t="shared" si="2"/>
        <v>0</v>
      </c>
      <c r="L12" s="28">
        <f t="shared" si="2"/>
        <v>0</v>
      </c>
      <c r="M12" s="28">
        <f t="shared" si="2"/>
        <v>0</v>
      </c>
      <c r="N12" s="28">
        <f t="shared" si="2"/>
        <v>0</v>
      </c>
      <c r="O12" s="28">
        <f t="shared" si="2"/>
        <v>0</v>
      </c>
      <c r="P12" s="28">
        <f t="shared" si="2"/>
        <v>0</v>
      </c>
      <c r="Q12" s="25"/>
      <c r="R12" s="25"/>
    </row>
    <row r="13" spans="1:18" x14ac:dyDescent="0.3">
      <c r="A13" s="194" t="s">
        <v>7</v>
      </c>
      <c r="B13" s="194"/>
      <c r="C13" s="25"/>
      <c r="D13" s="43"/>
      <c r="E13" s="43"/>
      <c r="F13" s="43"/>
      <c r="G13" s="43"/>
      <c r="H13" s="43"/>
      <c r="I13" s="43"/>
      <c r="J13" s="25"/>
      <c r="K13" s="25"/>
      <c r="L13" s="25"/>
      <c r="M13" s="25"/>
      <c r="N13" s="25"/>
      <c r="O13" s="25"/>
      <c r="P13" s="25"/>
      <c r="Q13" s="25"/>
      <c r="R13" s="25"/>
    </row>
    <row r="14" spans="1:18" x14ac:dyDescent="0.3">
      <c r="A14" s="26"/>
      <c r="B14" s="97" t="s">
        <v>8</v>
      </c>
      <c r="C14" s="25"/>
      <c r="D14" s="43"/>
      <c r="E14" s="43"/>
      <c r="F14" s="43"/>
      <c r="G14" s="43"/>
      <c r="H14" s="43"/>
      <c r="I14" s="43"/>
      <c r="J14" s="25"/>
      <c r="K14" s="25"/>
      <c r="L14" s="25"/>
      <c r="M14" s="25"/>
      <c r="N14" s="25"/>
      <c r="O14" s="25"/>
      <c r="P14" s="25">
        <f>SUM(D14:O14)</f>
        <v>0</v>
      </c>
      <c r="Q14" s="25"/>
      <c r="R14" s="25"/>
    </row>
    <row r="15" spans="1:18" x14ac:dyDescent="0.3">
      <c r="A15" s="26"/>
      <c r="B15" s="97" t="s">
        <v>9</v>
      </c>
      <c r="C15" s="25"/>
      <c r="D15" s="43"/>
      <c r="E15" s="43"/>
      <c r="F15" s="43"/>
      <c r="G15" s="43"/>
      <c r="H15" s="43"/>
      <c r="I15" s="43"/>
      <c r="J15" s="25"/>
      <c r="K15" s="25"/>
      <c r="L15" s="25"/>
      <c r="M15" s="25"/>
      <c r="N15" s="25"/>
      <c r="O15" s="25"/>
      <c r="P15" s="25">
        <f>SUM(D15:O15)</f>
        <v>0</v>
      </c>
      <c r="Q15" s="25"/>
      <c r="R15" s="25"/>
    </row>
    <row r="16" spans="1:18" x14ac:dyDescent="0.3">
      <c r="A16" s="26"/>
      <c r="B16" s="97" t="s">
        <v>219</v>
      </c>
      <c r="C16" s="25"/>
      <c r="D16" s="43"/>
      <c r="E16" s="43"/>
      <c r="F16" s="43"/>
      <c r="G16" s="43"/>
      <c r="H16" s="43"/>
      <c r="I16" s="43"/>
      <c r="J16" s="25"/>
      <c r="K16" s="25"/>
      <c r="L16" s="25"/>
      <c r="M16" s="25"/>
      <c r="N16" s="25"/>
      <c r="O16" s="25"/>
      <c r="P16" s="25">
        <f>SUM(D16:O16)</f>
        <v>0</v>
      </c>
      <c r="Q16" s="25"/>
      <c r="R16" s="25"/>
    </row>
    <row r="17" spans="1:18" x14ac:dyDescent="0.3">
      <c r="A17" s="26"/>
      <c r="B17" s="66" t="s">
        <v>16</v>
      </c>
      <c r="C17" s="25"/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>SUM(D17:O17)</f>
        <v>0</v>
      </c>
      <c r="Q17" s="25"/>
      <c r="R17" s="25"/>
    </row>
    <row r="18" spans="1:18" x14ac:dyDescent="0.3">
      <c r="A18" s="194" t="s">
        <v>10</v>
      </c>
      <c r="B18" s="194"/>
      <c r="C18" s="25"/>
      <c r="D18" s="28">
        <f t="shared" ref="D18:I18" si="3">SUM(D14:D17)</f>
        <v>0</v>
      </c>
      <c r="E18" s="28">
        <f t="shared" si="3"/>
        <v>0</v>
      </c>
      <c r="F18" s="28">
        <f t="shared" si="3"/>
        <v>0</v>
      </c>
      <c r="G18" s="28">
        <f t="shared" si="3"/>
        <v>0</v>
      </c>
      <c r="H18" s="28">
        <f t="shared" si="3"/>
        <v>0</v>
      </c>
      <c r="I18" s="28">
        <f t="shared" si="3"/>
        <v>0</v>
      </c>
      <c r="J18" s="28">
        <f t="shared" ref="J18:P18" si="4">SUM(J14:J17)</f>
        <v>0</v>
      </c>
      <c r="K18" s="28">
        <f t="shared" si="4"/>
        <v>0</v>
      </c>
      <c r="L18" s="28">
        <f t="shared" si="4"/>
        <v>0</v>
      </c>
      <c r="M18" s="28">
        <f t="shared" si="4"/>
        <v>0</v>
      </c>
      <c r="N18" s="28">
        <f t="shared" si="4"/>
        <v>0</v>
      </c>
      <c r="O18" s="28">
        <f t="shared" si="4"/>
        <v>0</v>
      </c>
      <c r="P18" s="28">
        <f t="shared" si="4"/>
        <v>0</v>
      </c>
      <c r="Q18" s="25"/>
      <c r="R18" s="25"/>
    </row>
    <row r="19" spans="1:18" x14ac:dyDescent="0.3">
      <c r="A19" s="194" t="s">
        <v>11</v>
      </c>
      <c r="B19" s="194"/>
      <c r="C19" s="25"/>
      <c r="D19" s="43"/>
      <c r="E19" s="43"/>
      <c r="F19" s="43"/>
      <c r="G19" s="43"/>
      <c r="H19" s="43"/>
      <c r="I19" s="43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3">
      <c r="A20" s="26"/>
      <c r="B20" s="27" t="s">
        <v>12</v>
      </c>
      <c r="C20" s="25"/>
      <c r="D20" s="43"/>
      <c r="E20" s="43"/>
      <c r="F20" s="43"/>
      <c r="G20" s="43"/>
      <c r="H20" s="43"/>
      <c r="I20" s="43"/>
      <c r="J20" s="25"/>
      <c r="K20" s="25"/>
      <c r="L20" s="25"/>
      <c r="M20" s="25"/>
      <c r="N20" s="25"/>
      <c r="O20" s="25"/>
      <c r="P20" s="25">
        <f t="shared" ref="P20:P25" si="5">SUM(D20:O20)</f>
        <v>0</v>
      </c>
      <c r="Q20" s="25"/>
      <c r="R20" s="25"/>
    </row>
    <row r="21" spans="1:18" x14ac:dyDescent="0.3">
      <c r="A21" s="26"/>
      <c r="B21" s="27" t="s">
        <v>96</v>
      </c>
      <c r="C21" s="25"/>
      <c r="D21" s="43"/>
      <c r="E21" s="43"/>
      <c r="F21" s="43"/>
      <c r="G21" s="43"/>
      <c r="H21" s="43"/>
      <c r="I21" s="43"/>
      <c r="J21" s="25"/>
      <c r="K21" s="25"/>
      <c r="L21" s="25"/>
      <c r="M21" s="25"/>
      <c r="N21" s="25"/>
      <c r="O21" s="25"/>
      <c r="P21" s="25">
        <f t="shared" si="5"/>
        <v>0</v>
      </c>
      <c r="Q21" s="25"/>
      <c r="R21" s="25"/>
    </row>
    <row r="22" spans="1:18" x14ac:dyDescent="0.3">
      <c r="A22" s="26"/>
      <c r="B22" s="27" t="s">
        <v>97</v>
      </c>
      <c r="C22" s="25"/>
      <c r="D22" s="43"/>
      <c r="E22" s="43"/>
      <c r="F22" s="43"/>
      <c r="G22" s="43"/>
      <c r="H22" s="43"/>
      <c r="I22" s="43"/>
      <c r="J22" s="25"/>
      <c r="K22" s="25"/>
      <c r="L22" s="25"/>
      <c r="M22" s="25"/>
      <c r="N22" s="25"/>
      <c r="O22" s="25"/>
      <c r="P22" s="25">
        <f t="shared" si="5"/>
        <v>0</v>
      </c>
      <c r="Q22" s="25"/>
      <c r="R22" s="25"/>
    </row>
    <row r="23" spans="1:18" x14ac:dyDescent="0.3">
      <c r="A23" s="26"/>
      <c r="B23" s="27" t="s">
        <v>13</v>
      </c>
      <c r="C23" s="25"/>
      <c r="D23" s="43"/>
      <c r="E23" s="43"/>
      <c r="F23" s="43"/>
      <c r="G23" s="43"/>
      <c r="H23" s="43"/>
      <c r="I23" s="43"/>
      <c r="J23" s="25"/>
      <c r="K23" s="25"/>
      <c r="L23" s="25"/>
      <c r="M23" s="25"/>
      <c r="N23" s="25"/>
      <c r="O23" s="25"/>
      <c r="P23" s="25">
        <f t="shared" si="5"/>
        <v>0</v>
      </c>
      <c r="Q23" s="25"/>
      <c r="R23" s="25"/>
    </row>
    <row r="24" spans="1:18" x14ac:dyDescent="0.3">
      <c r="A24" s="26"/>
      <c r="B24" s="27" t="s">
        <v>14</v>
      </c>
      <c r="C24" s="25"/>
      <c r="D24" s="43"/>
      <c r="E24" s="43"/>
      <c r="F24" s="43"/>
      <c r="G24" s="43"/>
      <c r="H24" s="43"/>
      <c r="I24" s="43"/>
      <c r="J24" s="25"/>
      <c r="K24" s="25"/>
      <c r="L24" s="25"/>
      <c r="M24" s="25"/>
      <c r="N24" s="25"/>
      <c r="O24" s="25"/>
      <c r="P24" s="25">
        <f t="shared" si="5"/>
        <v>0</v>
      </c>
      <c r="Q24" s="25"/>
      <c r="R24" s="25"/>
    </row>
    <row r="25" spans="1:18" x14ac:dyDescent="0.3">
      <c r="A25" s="26"/>
      <c r="B25" s="26"/>
      <c r="C25" s="25"/>
      <c r="D25" s="43"/>
      <c r="E25" s="43"/>
      <c r="F25" s="43"/>
      <c r="G25" s="43"/>
      <c r="H25" s="43"/>
      <c r="I25" s="43"/>
      <c r="J25" s="25"/>
      <c r="K25" s="25"/>
      <c r="L25" s="25"/>
      <c r="M25" s="25"/>
      <c r="N25" s="25"/>
      <c r="O25" s="25"/>
      <c r="P25" s="25">
        <f t="shared" si="5"/>
        <v>0</v>
      </c>
      <c r="Q25" s="25"/>
      <c r="R25" s="25"/>
    </row>
    <row r="26" spans="1:18" x14ac:dyDescent="0.3">
      <c r="A26" s="194" t="s">
        <v>15</v>
      </c>
      <c r="B26" s="194"/>
      <c r="C26" s="25"/>
      <c r="D26" s="28">
        <f t="shared" ref="D26:I26" si="6">SUM(D20:D25)</f>
        <v>0</v>
      </c>
      <c r="E26" s="28">
        <f t="shared" si="6"/>
        <v>0</v>
      </c>
      <c r="F26" s="28">
        <f t="shared" si="6"/>
        <v>0</v>
      </c>
      <c r="G26" s="28">
        <f t="shared" si="6"/>
        <v>0</v>
      </c>
      <c r="H26" s="28">
        <f t="shared" si="6"/>
        <v>0</v>
      </c>
      <c r="I26" s="28">
        <f t="shared" si="6"/>
        <v>0</v>
      </c>
      <c r="J26" s="28">
        <f t="shared" ref="J26:P26" si="7">SUM(J20:J25)</f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8">
        <f t="shared" si="7"/>
        <v>0</v>
      </c>
      <c r="O26" s="28">
        <f t="shared" si="7"/>
        <v>0</v>
      </c>
      <c r="P26" s="28">
        <f t="shared" si="7"/>
        <v>0</v>
      </c>
      <c r="Q26" s="25"/>
      <c r="R26" s="25"/>
    </row>
    <row r="27" spans="1:18" x14ac:dyDescent="0.3">
      <c r="A27" s="194" t="s">
        <v>16</v>
      </c>
      <c r="B27" s="194"/>
      <c r="C27" s="25"/>
      <c r="D27" s="43"/>
      <c r="E27" s="43"/>
      <c r="F27" s="43"/>
      <c r="G27" s="43"/>
      <c r="H27" s="43"/>
      <c r="I27" s="43"/>
      <c r="J27" s="25"/>
      <c r="K27" s="25"/>
      <c r="L27" s="25"/>
      <c r="M27" s="25"/>
      <c r="N27" s="25"/>
      <c r="O27" s="25"/>
      <c r="P27" s="25"/>
      <c r="Q27" s="25"/>
      <c r="R27" s="25"/>
    </row>
    <row r="28" spans="1:18" x14ac:dyDescent="0.3">
      <c r="A28" s="27" t="s">
        <v>17</v>
      </c>
      <c r="B28" s="27" t="s">
        <v>18</v>
      </c>
      <c r="C28" s="25"/>
      <c r="D28" s="43"/>
      <c r="E28" s="43"/>
      <c r="F28" s="43"/>
      <c r="G28" s="43"/>
      <c r="H28" s="43"/>
      <c r="I28" s="43"/>
      <c r="J28" s="25"/>
      <c r="K28" s="25"/>
      <c r="L28" s="25"/>
      <c r="M28" s="25"/>
      <c r="N28" s="25"/>
      <c r="O28" s="25"/>
      <c r="P28" s="25">
        <f>SUM(D28:O28)</f>
        <v>0</v>
      </c>
      <c r="Q28" s="25"/>
      <c r="R28" s="25"/>
    </row>
    <row r="29" spans="1:18" x14ac:dyDescent="0.3">
      <c r="A29" s="27" t="s">
        <v>17</v>
      </c>
      <c r="B29" s="27" t="s">
        <v>19</v>
      </c>
      <c r="C29" s="25"/>
      <c r="D29" s="43"/>
      <c r="E29" s="43"/>
      <c r="F29" s="43"/>
      <c r="G29" s="43"/>
      <c r="H29" s="43"/>
      <c r="I29" s="43"/>
      <c r="J29" s="25"/>
      <c r="K29" s="25"/>
      <c r="L29" s="25"/>
      <c r="M29" s="25"/>
      <c r="N29" s="25"/>
      <c r="O29" s="25"/>
      <c r="P29" s="25">
        <f>SUM(D29:O29)</f>
        <v>0</v>
      </c>
      <c r="Q29" s="25"/>
      <c r="R29" s="25"/>
    </row>
    <row r="30" spans="1:18" x14ac:dyDescent="0.3">
      <c r="A30" s="27" t="s">
        <v>17</v>
      </c>
      <c r="B30" s="27" t="s">
        <v>20</v>
      </c>
      <c r="C30" s="25"/>
      <c r="D30" s="43"/>
      <c r="E30" s="43">
        <v>40000</v>
      </c>
      <c r="F30" s="43"/>
      <c r="G30" s="43"/>
      <c r="H30" s="43"/>
      <c r="I30" s="43"/>
      <c r="J30" s="25"/>
      <c r="K30" s="25"/>
      <c r="L30" s="25"/>
      <c r="M30" s="25"/>
      <c r="N30" s="25"/>
      <c r="O30" s="25"/>
      <c r="P30" s="25">
        <f>SUM(D30:O30)</f>
        <v>40000</v>
      </c>
      <c r="Q30" s="25"/>
      <c r="R30" s="25"/>
    </row>
    <row r="31" spans="1:18" x14ac:dyDescent="0.3">
      <c r="A31" s="27" t="s">
        <v>17</v>
      </c>
      <c r="B31" s="27" t="s">
        <v>21</v>
      </c>
      <c r="C31" s="25"/>
      <c r="D31" s="43"/>
      <c r="E31" s="43"/>
      <c r="F31" s="43"/>
      <c r="G31" s="43"/>
      <c r="H31" s="43"/>
      <c r="I31" s="43"/>
      <c r="J31" s="25"/>
      <c r="K31" s="25"/>
      <c r="L31" s="25"/>
      <c r="M31" s="25"/>
      <c r="N31" s="25"/>
      <c r="O31" s="25"/>
      <c r="P31" s="25">
        <f>SUM(D31:O31)</f>
        <v>0</v>
      </c>
      <c r="Q31" s="25"/>
      <c r="R31" s="25"/>
    </row>
    <row r="32" spans="1:18" x14ac:dyDescent="0.3">
      <c r="A32" s="26"/>
      <c r="B32" s="26"/>
      <c r="C32" s="25"/>
      <c r="D32" s="30">
        <f t="shared" ref="D32:I32" si="8">D12+D18+D26+D28+D29+D30+D31</f>
        <v>0</v>
      </c>
      <c r="E32" s="30">
        <f t="shared" si="8"/>
        <v>40000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0</v>
      </c>
      <c r="J32" s="30">
        <f t="shared" ref="J32:P32" si="9">J12+J18+J26+J28+J29+J30+J31</f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40000</v>
      </c>
      <c r="Q32" s="25"/>
      <c r="R32" s="25"/>
    </row>
    <row r="33" spans="1:18" x14ac:dyDescent="0.3">
      <c r="A33" s="26"/>
      <c r="B33" s="26"/>
      <c r="C33" s="25"/>
      <c r="D33" s="43"/>
      <c r="E33" s="43"/>
      <c r="F33" s="43"/>
      <c r="G33" s="43"/>
      <c r="H33" s="43"/>
      <c r="I33" s="43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3">
      <c r="A34" s="194" t="s">
        <v>22</v>
      </c>
      <c r="B34" s="194"/>
      <c r="C34" s="25"/>
      <c r="D34" s="43"/>
      <c r="E34" s="43"/>
      <c r="F34" s="43"/>
      <c r="G34" s="43"/>
      <c r="H34" s="43"/>
      <c r="I34" s="43"/>
      <c r="J34" s="25"/>
      <c r="K34" s="25"/>
      <c r="L34" s="25"/>
      <c r="M34" s="25"/>
      <c r="N34" s="25"/>
      <c r="O34" s="25"/>
      <c r="P34" s="25"/>
      <c r="Q34" s="25"/>
      <c r="R34" s="25"/>
    </row>
    <row r="35" spans="1:18" x14ac:dyDescent="0.3">
      <c r="A35" s="26"/>
      <c r="B35" s="27" t="s">
        <v>23</v>
      </c>
      <c r="C35" s="25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25">
        <f>SUM(D35:O35)</f>
        <v>0</v>
      </c>
      <c r="Q35" s="25"/>
      <c r="R35" s="25"/>
    </row>
    <row r="36" spans="1:18" x14ac:dyDescent="0.3">
      <c r="A36" s="26"/>
      <c r="B36" s="27" t="s">
        <v>24</v>
      </c>
      <c r="C36" s="25"/>
      <c r="D36" s="43">
        <f>D35*0.0755</f>
        <v>0</v>
      </c>
      <c r="E36" s="43">
        <f t="shared" ref="E36:O36" si="10">E35*0.0755</f>
        <v>0</v>
      </c>
      <c r="F36" s="43">
        <f t="shared" si="10"/>
        <v>0</v>
      </c>
      <c r="G36" s="43">
        <f t="shared" si="10"/>
        <v>0</v>
      </c>
      <c r="H36" s="43">
        <f t="shared" si="10"/>
        <v>0</v>
      </c>
      <c r="I36" s="43">
        <f t="shared" si="10"/>
        <v>0</v>
      </c>
      <c r="J36" s="43">
        <f t="shared" si="10"/>
        <v>0</v>
      </c>
      <c r="K36" s="43">
        <f t="shared" si="10"/>
        <v>0</v>
      </c>
      <c r="L36" s="43">
        <f t="shared" si="10"/>
        <v>0</v>
      </c>
      <c r="M36" s="43">
        <f t="shared" si="10"/>
        <v>0</v>
      </c>
      <c r="N36" s="43">
        <f t="shared" si="10"/>
        <v>0</v>
      </c>
      <c r="O36" s="43">
        <f t="shared" si="10"/>
        <v>0</v>
      </c>
      <c r="P36" s="25">
        <f t="shared" ref="P36:P42" si="11">SUM(D36:O36)</f>
        <v>0</v>
      </c>
      <c r="Q36" s="25"/>
      <c r="R36" s="25"/>
    </row>
    <row r="37" spans="1:18" x14ac:dyDescent="0.3">
      <c r="A37" s="26"/>
      <c r="B37" s="27" t="s">
        <v>25</v>
      </c>
      <c r="C37" s="25"/>
      <c r="D37" s="43">
        <f>D35*0.013</f>
        <v>0</v>
      </c>
      <c r="E37" s="43">
        <f t="shared" ref="E37:O37" si="12">E35*0.013</f>
        <v>0</v>
      </c>
      <c r="F37" s="43">
        <f t="shared" si="12"/>
        <v>0</v>
      </c>
      <c r="G37" s="43">
        <f t="shared" si="12"/>
        <v>0</v>
      </c>
      <c r="H37" s="43">
        <f t="shared" si="12"/>
        <v>0</v>
      </c>
      <c r="I37" s="43">
        <f t="shared" si="12"/>
        <v>0</v>
      </c>
      <c r="J37" s="43">
        <f t="shared" si="12"/>
        <v>0</v>
      </c>
      <c r="K37" s="43">
        <f t="shared" si="12"/>
        <v>0</v>
      </c>
      <c r="L37" s="43">
        <f t="shared" si="12"/>
        <v>0</v>
      </c>
      <c r="M37" s="43">
        <f t="shared" si="12"/>
        <v>0</v>
      </c>
      <c r="N37" s="43">
        <f t="shared" si="12"/>
        <v>0</v>
      </c>
      <c r="O37" s="43">
        <f t="shared" si="12"/>
        <v>0</v>
      </c>
      <c r="P37" s="25">
        <f t="shared" si="11"/>
        <v>0</v>
      </c>
      <c r="Q37" s="25"/>
      <c r="R37" s="25"/>
    </row>
    <row r="38" spans="1:18" x14ac:dyDescent="0.3">
      <c r="A38" s="26"/>
      <c r="B38" s="27" t="s">
        <v>26</v>
      </c>
      <c r="C38" s="25"/>
      <c r="D38" s="43">
        <f>D35*0.0894</f>
        <v>0</v>
      </c>
      <c r="E38" s="43">
        <f t="shared" ref="E38:O38" si="13">E35*0.0894</f>
        <v>0</v>
      </c>
      <c r="F38" s="43">
        <f t="shared" si="13"/>
        <v>0</v>
      </c>
      <c r="G38" s="43">
        <f t="shared" si="13"/>
        <v>0</v>
      </c>
      <c r="H38" s="43">
        <f t="shared" si="13"/>
        <v>0</v>
      </c>
      <c r="I38" s="43">
        <f t="shared" si="13"/>
        <v>0</v>
      </c>
      <c r="J38" s="43">
        <f t="shared" si="13"/>
        <v>0</v>
      </c>
      <c r="K38" s="43">
        <f t="shared" si="13"/>
        <v>0</v>
      </c>
      <c r="L38" s="43">
        <f t="shared" si="13"/>
        <v>0</v>
      </c>
      <c r="M38" s="43">
        <f t="shared" si="13"/>
        <v>0</v>
      </c>
      <c r="N38" s="43">
        <f t="shared" si="13"/>
        <v>0</v>
      </c>
      <c r="O38" s="43">
        <f t="shared" si="13"/>
        <v>0</v>
      </c>
      <c r="P38" s="25">
        <f t="shared" si="11"/>
        <v>0</v>
      </c>
      <c r="Q38" s="25"/>
      <c r="R38" s="25"/>
    </row>
    <row r="39" spans="1:18" x14ac:dyDescent="0.3">
      <c r="A39" s="26"/>
      <c r="B39" s="27" t="s">
        <v>27</v>
      </c>
      <c r="C39" s="25"/>
      <c r="D39" s="43">
        <f t="shared" ref="D39:O39" si="14">D35*0.0087</f>
        <v>0</v>
      </c>
      <c r="E39" s="43">
        <f t="shared" si="14"/>
        <v>0</v>
      </c>
      <c r="F39" s="43">
        <f t="shared" si="14"/>
        <v>0</v>
      </c>
      <c r="G39" s="43">
        <f t="shared" si="14"/>
        <v>0</v>
      </c>
      <c r="H39" s="43">
        <f t="shared" si="14"/>
        <v>0</v>
      </c>
      <c r="I39" s="43">
        <f t="shared" si="14"/>
        <v>0</v>
      </c>
      <c r="J39" s="43">
        <f t="shared" si="14"/>
        <v>0</v>
      </c>
      <c r="K39" s="43">
        <f t="shared" si="14"/>
        <v>0</v>
      </c>
      <c r="L39" s="43">
        <f t="shared" si="14"/>
        <v>0</v>
      </c>
      <c r="M39" s="43">
        <f t="shared" si="14"/>
        <v>0</v>
      </c>
      <c r="N39" s="43">
        <f t="shared" si="14"/>
        <v>0</v>
      </c>
      <c r="O39" s="43">
        <f t="shared" si="14"/>
        <v>0</v>
      </c>
      <c r="P39" s="25">
        <f t="shared" si="11"/>
        <v>0</v>
      </c>
      <c r="Q39" s="25"/>
      <c r="R39" s="25"/>
    </row>
    <row r="40" spans="1:18" x14ac:dyDescent="0.3">
      <c r="A40" s="26"/>
      <c r="B40" s="27" t="s">
        <v>28</v>
      </c>
      <c r="C40" s="25"/>
      <c r="D40" s="43">
        <f>D35*0.0277</f>
        <v>0</v>
      </c>
      <c r="E40" s="43">
        <f t="shared" ref="E40:O40" si="15">E35*0.0277</f>
        <v>0</v>
      </c>
      <c r="F40" s="43">
        <f t="shared" si="15"/>
        <v>0</v>
      </c>
      <c r="G40" s="43">
        <f t="shared" si="15"/>
        <v>0</v>
      </c>
      <c r="H40" s="43">
        <f t="shared" si="15"/>
        <v>0</v>
      </c>
      <c r="I40" s="43">
        <f t="shared" si="15"/>
        <v>0</v>
      </c>
      <c r="J40" s="43">
        <f t="shared" si="15"/>
        <v>0</v>
      </c>
      <c r="K40" s="43">
        <f t="shared" si="15"/>
        <v>0</v>
      </c>
      <c r="L40" s="43">
        <f t="shared" si="15"/>
        <v>0</v>
      </c>
      <c r="M40" s="43">
        <f t="shared" si="15"/>
        <v>0</v>
      </c>
      <c r="N40" s="43">
        <f t="shared" si="15"/>
        <v>0</v>
      </c>
      <c r="O40" s="43">
        <f t="shared" si="15"/>
        <v>0</v>
      </c>
      <c r="P40" s="25">
        <f t="shared" si="11"/>
        <v>0</v>
      </c>
      <c r="Q40" s="25"/>
      <c r="R40" s="25"/>
    </row>
    <row r="41" spans="1:18" x14ac:dyDescent="0.3">
      <c r="A41" s="26"/>
      <c r="B41" s="27" t="s">
        <v>29</v>
      </c>
      <c r="C41" s="25"/>
      <c r="D41" s="43">
        <f>D35*0.019</f>
        <v>0</v>
      </c>
      <c r="E41" s="43">
        <f t="shared" ref="E41:O41" si="16">E35*0.019</f>
        <v>0</v>
      </c>
      <c r="F41" s="43">
        <f t="shared" si="16"/>
        <v>0</v>
      </c>
      <c r="G41" s="43">
        <f t="shared" si="16"/>
        <v>0</v>
      </c>
      <c r="H41" s="43">
        <f t="shared" si="16"/>
        <v>0</v>
      </c>
      <c r="I41" s="43">
        <f t="shared" si="16"/>
        <v>0</v>
      </c>
      <c r="J41" s="43">
        <f t="shared" si="16"/>
        <v>0</v>
      </c>
      <c r="K41" s="43">
        <f t="shared" si="16"/>
        <v>0</v>
      </c>
      <c r="L41" s="43">
        <f t="shared" si="16"/>
        <v>0</v>
      </c>
      <c r="M41" s="43">
        <f t="shared" si="16"/>
        <v>0</v>
      </c>
      <c r="N41" s="43">
        <f t="shared" si="16"/>
        <v>0</v>
      </c>
      <c r="O41" s="43">
        <f t="shared" si="16"/>
        <v>0</v>
      </c>
      <c r="P41" s="25">
        <f t="shared" si="11"/>
        <v>0</v>
      </c>
      <c r="Q41" s="25"/>
      <c r="R41" s="25"/>
    </row>
    <row r="42" spans="1:18" x14ac:dyDescent="0.3">
      <c r="A42" s="26"/>
      <c r="B42" s="27" t="s">
        <v>30</v>
      </c>
      <c r="C42" s="25"/>
      <c r="D42" s="43"/>
      <c r="E42" s="43"/>
      <c r="F42" s="43"/>
      <c r="G42" s="43"/>
      <c r="H42" s="43"/>
      <c r="I42" s="43"/>
      <c r="J42" s="25"/>
      <c r="K42" s="25"/>
      <c r="L42" s="25"/>
      <c r="M42" s="25"/>
      <c r="N42" s="25"/>
      <c r="O42" s="25"/>
      <c r="P42" s="25">
        <f t="shared" si="11"/>
        <v>0</v>
      </c>
      <c r="Q42" s="25"/>
      <c r="R42" s="25"/>
    </row>
    <row r="43" spans="1:18" x14ac:dyDescent="0.3">
      <c r="A43" s="194" t="s">
        <v>31</v>
      </c>
      <c r="B43" s="194"/>
      <c r="C43" s="25"/>
      <c r="D43" s="28">
        <f t="shared" ref="D43:I43" si="17">SUM(D35:D42)</f>
        <v>0</v>
      </c>
      <c r="E43" s="28">
        <f t="shared" si="17"/>
        <v>0</v>
      </c>
      <c r="F43" s="28">
        <f t="shared" si="17"/>
        <v>0</v>
      </c>
      <c r="G43" s="28">
        <f t="shared" si="17"/>
        <v>0</v>
      </c>
      <c r="H43" s="28">
        <f t="shared" si="17"/>
        <v>0</v>
      </c>
      <c r="I43" s="28">
        <f t="shared" si="17"/>
        <v>0</v>
      </c>
      <c r="J43" s="28">
        <f t="shared" ref="J43:P43" si="18">SUM(J35:J42)</f>
        <v>0</v>
      </c>
      <c r="K43" s="28">
        <f t="shared" si="18"/>
        <v>0</v>
      </c>
      <c r="L43" s="28">
        <f t="shared" si="18"/>
        <v>0</v>
      </c>
      <c r="M43" s="28">
        <f t="shared" si="18"/>
        <v>0</v>
      </c>
      <c r="N43" s="28">
        <f t="shared" si="18"/>
        <v>0</v>
      </c>
      <c r="O43" s="28">
        <f t="shared" si="18"/>
        <v>0</v>
      </c>
      <c r="P43" s="28">
        <f t="shared" si="18"/>
        <v>0</v>
      </c>
      <c r="Q43" s="25"/>
      <c r="R43" s="25"/>
    </row>
    <row r="44" spans="1:18" x14ac:dyDescent="0.3">
      <c r="A44" s="194" t="s">
        <v>32</v>
      </c>
      <c r="B44" s="194"/>
      <c r="C44" s="25"/>
      <c r="D44" s="43"/>
      <c r="E44" s="43"/>
      <c r="F44" s="43"/>
      <c r="G44" s="43"/>
      <c r="H44" s="43"/>
      <c r="I44" s="43"/>
      <c r="J44" s="25"/>
      <c r="K44" s="25"/>
      <c r="L44" s="25"/>
      <c r="M44" s="25"/>
      <c r="N44" s="25"/>
      <c r="O44" s="25"/>
      <c r="P44" s="25"/>
      <c r="Q44" s="25"/>
      <c r="R44" s="25"/>
    </row>
    <row r="45" spans="1:18" x14ac:dyDescent="0.3">
      <c r="A45" s="26"/>
      <c r="B45" s="27" t="s">
        <v>33</v>
      </c>
      <c r="C45" s="25"/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25">
        <f>SUM(F45:O45)</f>
        <v>0</v>
      </c>
      <c r="Q45" s="25"/>
      <c r="R45" s="25"/>
    </row>
    <row r="46" spans="1:18" x14ac:dyDescent="0.3">
      <c r="A46" s="26"/>
      <c r="B46" s="27" t="s">
        <v>34</v>
      </c>
      <c r="C46" s="25"/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25"/>
      <c r="R46" s="25"/>
    </row>
    <row r="47" spans="1:18" x14ac:dyDescent="0.3">
      <c r="A47" s="26"/>
      <c r="B47" s="27" t="s">
        <v>35</v>
      </c>
      <c r="C47" s="25"/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f t="shared" ref="P47:P52" si="19">SUM(F47:O47)</f>
        <v>0</v>
      </c>
      <c r="Q47" s="25"/>
      <c r="R47" s="25"/>
    </row>
    <row r="48" spans="1:18" x14ac:dyDescent="0.3">
      <c r="A48" s="26"/>
      <c r="B48" s="27" t="s">
        <v>36</v>
      </c>
      <c r="C48" s="25"/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25"/>
      <c r="R48" s="25"/>
    </row>
    <row r="49" spans="1:18" x14ac:dyDescent="0.3">
      <c r="A49" s="26"/>
      <c r="B49" s="27" t="s">
        <v>37</v>
      </c>
      <c r="C49" s="25"/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f t="shared" si="19"/>
        <v>0</v>
      </c>
      <c r="Q49" s="25"/>
      <c r="R49" s="25"/>
    </row>
    <row r="50" spans="1:18" s="42" customFormat="1" x14ac:dyDescent="0.3">
      <c r="A50" s="26"/>
      <c r="B50" s="92" t="s">
        <v>194</v>
      </c>
      <c r="C50" s="43"/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f t="shared" si="19"/>
        <v>0</v>
      </c>
      <c r="Q50" s="43"/>
      <c r="R50" s="43"/>
    </row>
    <row r="51" spans="1:18" x14ac:dyDescent="0.3">
      <c r="A51" s="26"/>
      <c r="B51" s="27" t="s">
        <v>38</v>
      </c>
      <c r="C51" s="25"/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f t="shared" si="19"/>
        <v>0</v>
      </c>
      <c r="Q51" s="25"/>
      <c r="R51" s="25"/>
    </row>
    <row r="52" spans="1:18" x14ac:dyDescent="0.3">
      <c r="A52" s="26"/>
      <c r="B52" s="27" t="s">
        <v>39</v>
      </c>
      <c r="C52" s="25"/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f t="shared" si="19"/>
        <v>0</v>
      </c>
      <c r="Q52" s="25"/>
      <c r="R52" s="25"/>
    </row>
    <row r="53" spans="1:18" x14ac:dyDescent="0.3">
      <c r="A53" s="194" t="s">
        <v>40</v>
      </c>
      <c r="B53" s="194"/>
      <c r="C53" s="25"/>
      <c r="D53" s="28">
        <v>0</v>
      </c>
      <c r="E53" s="28">
        <f>SUM(E45:E52)</f>
        <v>0</v>
      </c>
      <c r="F53" s="28">
        <f>SUM(F45:F52)</f>
        <v>0</v>
      </c>
      <c r="G53" s="28">
        <f>SUM(G45:G52)</f>
        <v>0</v>
      </c>
      <c r="H53" s="28">
        <f>SUM(H45:H52)</f>
        <v>0</v>
      </c>
      <c r="I53" s="28">
        <f>SUM(I45:I52)</f>
        <v>0</v>
      </c>
      <c r="J53" s="28">
        <f t="shared" ref="J53:P53" si="20">SUM(J45:J52)</f>
        <v>0</v>
      </c>
      <c r="K53" s="28">
        <f t="shared" si="20"/>
        <v>0</v>
      </c>
      <c r="L53" s="28">
        <f t="shared" si="20"/>
        <v>0</v>
      </c>
      <c r="M53" s="28">
        <f t="shared" si="20"/>
        <v>0</v>
      </c>
      <c r="N53" s="28">
        <f t="shared" si="20"/>
        <v>0</v>
      </c>
      <c r="O53" s="28">
        <f t="shared" si="20"/>
        <v>0</v>
      </c>
      <c r="P53" s="28">
        <f t="shared" si="20"/>
        <v>0</v>
      </c>
      <c r="Q53" s="25"/>
      <c r="R53" s="25"/>
    </row>
    <row r="54" spans="1:18" x14ac:dyDescent="0.3">
      <c r="A54" s="194" t="s">
        <v>41</v>
      </c>
      <c r="B54" s="194"/>
      <c r="C54" s="25"/>
      <c r="D54" s="43"/>
      <c r="E54" s="43"/>
      <c r="F54" s="43"/>
      <c r="G54" s="43"/>
      <c r="H54" s="43"/>
      <c r="I54" s="43"/>
      <c r="J54" s="25"/>
      <c r="K54" s="25"/>
      <c r="L54" s="25"/>
      <c r="M54" s="25"/>
      <c r="N54" s="25"/>
      <c r="O54" s="25"/>
      <c r="P54" s="25"/>
      <c r="Q54" s="25"/>
      <c r="R54" s="25"/>
    </row>
    <row r="55" spans="1:18" x14ac:dyDescent="0.3">
      <c r="A55" s="26"/>
      <c r="B55" s="27" t="s">
        <v>42</v>
      </c>
      <c r="C55" s="25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25">
        <f t="shared" ref="P55:P83" si="21">SUM(D55:O55)</f>
        <v>0</v>
      </c>
      <c r="Q55" s="25"/>
      <c r="R55" s="25"/>
    </row>
    <row r="56" spans="1:18" x14ac:dyDescent="0.3">
      <c r="A56" s="26"/>
      <c r="B56" s="27" t="s">
        <v>43</v>
      </c>
      <c r="C56" s="25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25">
        <f t="shared" si="21"/>
        <v>0</v>
      </c>
      <c r="Q56" s="25"/>
      <c r="R56" s="25"/>
    </row>
    <row r="57" spans="1:18" x14ac:dyDescent="0.3">
      <c r="A57" s="26"/>
      <c r="B57" s="27" t="s">
        <v>44</v>
      </c>
      <c r="C57" s="25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25">
        <f t="shared" si="21"/>
        <v>0</v>
      </c>
      <c r="Q57" s="25"/>
      <c r="R57" s="25"/>
    </row>
    <row r="58" spans="1:18" x14ac:dyDescent="0.3">
      <c r="A58" s="26"/>
      <c r="B58" s="27" t="s">
        <v>45</v>
      </c>
      <c r="C58" s="25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25">
        <f t="shared" si="21"/>
        <v>0</v>
      </c>
      <c r="Q58" s="25"/>
      <c r="R58" s="25"/>
    </row>
    <row r="59" spans="1:18" x14ac:dyDescent="0.3">
      <c r="A59" s="26"/>
      <c r="B59" s="27" t="s">
        <v>46</v>
      </c>
      <c r="C59" s="25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25">
        <f t="shared" si="21"/>
        <v>0</v>
      </c>
      <c r="Q59" s="25"/>
      <c r="R59" s="25"/>
    </row>
    <row r="60" spans="1:18" x14ac:dyDescent="0.3">
      <c r="A60" s="26"/>
      <c r="B60" s="27" t="s">
        <v>47</v>
      </c>
      <c r="C60" s="25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25">
        <f t="shared" si="21"/>
        <v>0</v>
      </c>
      <c r="Q60" s="25"/>
      <c r="R60" s="25"/>
    </row>
    <row r="61" spans="1:18" x14ac:dyDescent="0.3">
      <c r="A61" s="26"/>
      <c r="B61" s="27" t="s">
        <v>48</v>
      </c>
      <c r="C61" s="2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25">
        <f t="shared" si="21"/>
        <v>0</v>
      </c>
      <c r="Q61" s="25"/>
      <c r="R61" s="25"/>
    </row>
    <row r="62" spans="1:18" x14ac:dyDescent="0.3">
      <c r="A62" s="26"/>
      <c r="B62" s="27" t="s">
        <v>49</v>
      </c>
      <c r="C62" s="25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25">
        <f t="shared" si="21"/>
        <v>0</v>
      </c>
      <c r="Q62" s="25"/>
      <c r="R62" s="25"/>
    </row>
    <row r="63" spans="1:18" x14ac:dyDescent="0.3">
      <c r="A63" s="26"/>
      <c r="B63" s="27" t="s">
        <v>50</v>
      </c>
      <c r="C63" s="25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25">
        <f t="shared" si="21"/>
        <v>0</v>
      </c>
      <c r="Q63" s="25"/>
      <c r="R63" s="25"/>
    </row>
    <row r="64" spans="1:18" x14ac:dyDescent="0.3">
      <c r="A64" s="26"/>
      <c r="B64" s="27" t="s">
        <v>51</v>
      </c>
      <c r="C64" s="25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25">
        <f t="shared" si="21"/>
        <v>0</v>
      </c>
      <c r="Q64" s="25"/>
      <c r="R64" s="25"/>
    </row>
    <row r="65" spans="1:18" x14ac:dyDescent="0.3">
      <c r="A65" s="26"/>
      <c r="B65" s="27" t="s">
        <v>52</v>
      </c>
      <c r="C65" s="25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5">
        <f t="shared" si="21"/>
        <v>0</v>
      </c>
      <c r="Q65" s="25"/>
      <c r="R65" s="25"/>
    </row>
    <row r="66" spans="1:18" x14ac:dyDescent="0.3">
      <c r="A66" s="26"/>
      <c r="B66" s="27" t="s">
        <v>53</v>
      </c>
      <c r="C66" s="25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25">
        <f t="shared" si="21"/>
        <v>0</v>
      </c>
      <c r="Q66" s="25"/>
      <c r="R66" s="25"/>
    </row>
    <row r="67" spans="1:18" x14ac:dyDescent="0.3">
      <c r="A67" s="26"/>
      <c r="B67" s="27" t="s">
        <v>54</v>
      </c>
      <c r="C67" s="25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25">
        <f t="shared" si="21"/>
        <v>0</v>
      </c>
      <c r="Q67" s="25"/>
      <c r="R67" s="25"/>
    </row>
    <row r="68" spans="1:18" x14ac:dyDescent="0.3">
      <c r="A68" s="26"/>
      <c r="B68" s="27" t="s">
        <v>55</v>
      </c>
      <c r="C68" s="25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25">
        <f t="shared" si="21"/>
        <v>0</v>
      </c>
      <c r="Q68" s="25"/>
      <c r="R68" s="25"/>
    </row>
    <row r="69" spans="1:18" x14ac:dyDescent="0.3">
      <c r="A69" s="26"/>
      <c r="B69" s="27" t="s">
        <v>56</v>
      </c>
      <c r="C69" s="25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25">
        <f t="shared" si="21"/>
        <v>0</v>
      </c>
      <c r="Q69" s="25"/>
      <c r="R69" s="25"/>
    </row>
    <row r="70" spans="1:18" x14ac:dyDescent="0.3">
      <c r="A70" s="26"/>
      <c r="B70" s="27" t="s">
        <v>57</v>
      </c>
      <c r="C70" s="25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25">
        <f t="shared" si="21"/>
        <v>0</v>
      </c>
      <c r="Q70" s="25"/>
      <c r="R70" s="25"/>
    </row>
    <row r="71" spans="1:18" x14ac:dyDescent="0.3">
      <c r="A71" s="26"/>
      <c r="B71" s="27" t="s">
        <v>58</v>
      </c>
      <c r="C71" s="2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25">
        <f t="shared" si="21"/>
        <v>0</v>
      </c>
      <c r="Q71" s="25"/>
      <c r="R71" s="25"/>
    </row>
    <row r="72" spans="1:18" x14ac:dyDescent="0.3">
      <c r="A72" s="26"/>
      <c r="B72" s="27" t="s">
        <v>59</v>
      </c>
      <c r="C72" s="25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25">
        <f t="shared" si="21"/>
        <v>0</v>
      </c>
      <c r="Q72" s="25"/>
      <c r="R72" s="25"/>
    </row>
    <row r="73" spans="1:18" x14ac:dyDescent="0.3">
      <c r="A73" s="26"/>
      <c r="B73" s="27" t="s">
        <v>60</v>
      </c>
      <c r="C73" s="2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25">
        <f t="shared" si="21"/>
        <v>0</v>
      </c>
      <c r="Q73" s="25"/>
      <c r="R73" s="25"/>
    </row>
    <row r="74" spans="1:18" x14ac:dyDescent="0.3">
      <c r="A74" s="26"/>
      <c r="B74" s="27" t="s">
        <v>61</v>
      </c>
      <c r="C74" s="25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25">
        <f t="shared" si="21"/>
        <v>0</v>
      </c>
      <c r="Q74" s="25"/>
      <c r="R74" s="25"/>
    </row>
    <row r="75" spans="1:18" x14ac:dyDescent="0.3">
      <c r="A75" s="26"/>
      <c r="B75" s="27" t="s">
        <v>62</v>
      </c>
      <c r="C75" s="25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>
        <v>0</v>
      </c>
      <c r="Q75" s="25"/>
      <c r="R75" s="25"/>
    </row>
    <row r="76" spans="1:18" x14ac:dyDescent="0.3">
      <c r="A76" s="26"/>
      <c r="B76" s="27" t="s">
        <v>63</v>
      </c>
      <c r="C76" s="25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25">
        <f t="shared" si="21"/>
        <v>0</v>
      </c>
      <c r="Q76" s="25"/>
      <c r="R76" s="25"/>
    </row>
    <row r="77" spans="1:18" x14ac:dyDescent="0.3">
      <c r="A77" s="27" t="s">
        <v>17</v>
      </c>
      <c r="B77" s="27" t="s">
        <v>64</v>
      </c>
      <c r="C77" s="25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25">
        <f t="shared" si="21"/>
        <v>0</v>
      </c>
      <c r="Q77" s="25"/>
      <c r="R77" s="25"/>
    </row>
    <row r="78" spans="1:18" x14ac:dyDescent="0.3">
      <c r="A78" s="26"/>
      <c r="B78" s="27" t="s">
        <v>65</v>
      </c>
      <c r="C78" s="25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25">
        <f t="shared" si="21"/>
        <v>0</v>
      </c>
      <c r="Q78" s="25"/>
      <c r="R78" s="25"/>
    </row>
    <row r="79" spans="1:18" x14ac:dyDescent="0.3">
      <c r="A79" s="26"/>
      <c r="B79" s="26"/>
      <c r="C79" s="25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25">
        <f t="shared" si="21"/>
        <v>0</v>
      </c>
      <c r="Q79" s="25"/>
      <c r="R79" s="25"/>
    </row>
    <row r="80" spans="1:18" x14ac:dyDescent="0.3">
      <c r="A80" s="26"/>
      <c r="B80" s="27"/>
      <c r="C80" s="25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25">
        <f t="shared" si="21"/>
        <v>0</v>
      </c>
      <c r="Q80" s="25"/>
      <c r="R80" s="25"/>
    </row>
    <row r="81" spans="1:18" x14ac:dyDescent="0.3">
      <c r="A81" s="26"/>
      <c r="B81" s="27"/>
      <c r="C81" s="25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25">
        <f t="shared" si="21"/>
        <v>0</v>
      </c>
      <c r="Q81" s="25"/>
      <c r="R81" s="25"/>
    </row>
    <row r="82" spans="1:18" x14ac:dyDescent="0.3">
      <c r="A82" s="26"/>
      <c r="B82" s="27"/>
      <c r="C82" s="25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25">
        <f t="shared" si="21"/>
        <v>0</v>
      </c>
      <c r="Q82" s="25"/>
      <c r="R82" s="25"/>
    </row>
    <row r="83" spans="1:18" x14ac:dyDescent="0.3">
      <c r="A83" s="26"/>
      <c r="B83" s="27"/>
      <c r="C83" s="25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25">
        <f t="shared" si="21"/>
        <v>0</v>
      </c>
      <c r="Q83" s="25"/>
      <c r="R83" s="25"/>
    </row>
    <row r="84" spans="1:18" x14ac:dyDescent="0.3">
      <c r="A84" s="194" t="s">
        <v>66</v>
      </c>
      <c r="B84" s="194"/>
      <c r="C84" s="25"/>
      <c r="D84" s="28">
        <f t="shared" ref="D84:I84" si="22">SUM(D56:D83)</f>
        <v>0</v>
      </c>
      <c r="E84" s="28">
        <f t="shared" si="22"/>
        <v>0</v>
      </c>
      <c r="F84" s="28">
        <f t="shared" si="22"/>
        <v>0</v>
      </c>
      <c r="G84" s="28">
        <f t="shared" si="22"/>
        <v>0</v>
      </c>
      <c r="H84" s="28">
        <f t="shared" si="22"/>
        <v>0</v>
      </c>
      <c r="I84" s="28">
        <f t="shared" si="22"/>
        <v>0</v>
      </c>
      <c r="J84" s="28">
        <f t="shared" ref="J84:P84" si="23">SUM(J56:J83)</f>
        <v>0</v>
      </c>
      <c r="K84" s="28">
        <f t="shared" si="23"/>
        <v>0</v>
      </c>
      <c r="L84" s="28">
        <f t="shared" si="23"/>
        <v>0</v>
      </c>
      <c r="M84" s="28">
        <f t="shared" si="23"/>
        <v>0</v>
      </c>
      <c r="N84" s="28">
        <f t="shared" si="23"/>
        <v>0</v>
      </c>
      <c r="O84" s="28">
        <f t="shared" si="23"/>
        <v>0</v>
      </c>
      <c r="P84" s="28">
        <f t="shared" si="23"/>
        <v>0</v>
      </c>
      <c r="Q84" s="25"/>
      <c r="R84" s="25"/>
    </row>
    <row r="85" spans="1:18" x14ac:dyDescent="0.3">
      <c r="A85" s="194" t="s">
        <v>67</v>
      </c>
      <c r="B85" s="194"/>
      <c r="C85" s="25"/>
      <c r="D85" s="43"/>
      <c r="E85" s="43"/>
      <c r="F85" s="43"/>
      <c r="G85" s="43"/>
      <c r="H85" s="43"/>
      <c r="I85" s="43"/>
      <c r="J85" s="25"/>
      <c r="K85" s="25"/>
      <c r="L85" s="25"/>
      <c r="M85" s="25"/>
      <c r="N85" s="25"/>
      <c r="O85" s="25"/>
      <c r="P85" s="25"/>
      <c r="Q85" s="25"/>
      <c r="R85" s="25"/>
    </row>
    <row r="86" spans="1:18" x14ac:dyDescent="0.3">
      <c r="A86" s="26"/>
      <c r="B86" s="27" t="s">
        <v>68</v>
      </c>
      <c r="C86" s="25"/>
      <c r="D86" s="43">
        <f>500*0.75</f>
        <v>375</v>
      </c>
      <c r="E86" s="43">
        <v>475</v>
      </c>
      <c r="F86" s="43">
        <f>600*0.75</f>
        <v>450</v>
      </c>
      <c r="G86" s="43"/>
      <c r="H86" s="43"/>
      <c r="I86" s="43"/>
      <c r="J86" s="43"/>
      <c r="K86" s="43"/>
      <c r="L86" s="43"/>
      <c r="M86" s="43"/>
      <c r="N86" s="43"/>
      <c r="O86" s="43"/>
      <c r="P86" s="25">
        <f t="shared" ref="P86:P104" si="24">SUM(D86:O86)</f>
        <v>1300</v>
      </c>
      <c r="Q86" s="25"/>
      <c r="R86" s="25"/>
    </row>
    <row r="87" spans="1:18" x14ac:dyDescent="0.3">
      <c r="A87" s="26"/>
      <c r="B87" s="27" t="s">
        <v>69</v>
      </c>
      <c r="C87" s="25"/>
      <c r="D87" s="43">
        <v>110</v>
      </c>
      <c r="E87" s="43">
        <v>110</v>
      </c>
      <c r="F87" s="43">
        <v>110</v>
      </c>
      <c r="G87" s="43"/>
      <c r="H87" s="43"/>
      <c r="I87" s="43"/>
      <c r="J87" s="43"/>
      <c r="K87" s="43"/>
      <c r="L87" s="43"/>
      <c r="M87" s="43"/>
      <c r="N87" s="43"/>
      <c r="O87" s="43"/>
      <c r="P87" s="25">
        <f t="shared" si="24"/>
        <v>330</v>
      </c>
      <c r="Q87" s="25"/>
      <c r="R87" s="25"/>
    </row>
    <row r="88" spans="1:18" x14ac:dyDescent="0.3">
      <c r="A88" s="26"/>
      <c r="B88" s="27" t="s">
        <v>70</v>
      </c>
      <c r="C88" s="25"/>
      <c r="D88" s="43">
        <v>150</v>
      </c>
      <c r="E88" s="43">
        <v>150</v>
      </c>
      <c r="F88" s="43">
        <v>150</v>
      </c>
      <c r="G88" s="43"/>
      <c r="H88" s="43"/>
      <c r="I88" s="43"/>
      <c r="J88" s="43"/>
      <c r="K88" s="43"/>
      <c r="L88" s="43"/>
      <c r="M88" s="43"/>
      <c r="N88" s="43"/>
      <c r="O88" s="43"/>
      <c r="P88" s="25">
        <f t="shared" si="24"/>
        <v>450</v>
      </c>
      <c r="Q88" s="25"/>
      <c r="R88" s="25"/>
    </row>
    <row r="89" spans="1:18" x14ac:dyDescent="0.3">
      <c r="A89" s="26"/>
      <c r="B89" s="27" t="s">
        <v>71</v>
      </c>
      <c r="C89" s="25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25">
        <f t="shared" si="24"/>
        <v>0</v>
      </c>
      <c r="Q89" s="25"/>
      <c r="R89" s="25"/>
    </row>
    <row r="90" spans="1:18" x14ac:dyDescent="0.3">
      <c r="A90" s="26"/>
      <c r="B90" s="27" t="s">
        <v>72</v>
      </c>
      <c r="C90" s="25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25">
        <f t="shared" si="24"/>
        <v>0</v>
      </c>
      <c r="Q90" s="25"/>
      <c r="R90" s="25"/>
    </row>
    <row r="91" spans="1:18" x14ac:dyDescent="0.3">
      <c r="A91" s="26"/>
      <c r="B91" s="27" t="s">
        <v>73</v>
      </c>
      <c r="C91" s="25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25">
        <f t="shared" si="24"/>
        <v>0</v>
      </c>
      <c r="Q91" s="25"/>
      <c r="R91" s="25"/>
    </row>
    <row r="92" spans="1:18" x14ac:dyDescent="0.3">
      <c r="A92" s="26"/>
      <c r="B92" s="27" t="s">
        <v>74</v>
      </c>
      <c r="C92" s="25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25">
        <f t="shared" si="24"/>
        <v>0</v>
      </c>
      <c r="Q92" s="25"/>
      <c r="R92" s="25"/>
    </row>
    <row r="93" spans="1:18" x14ac:dyDescent="0.3">
      <c r="A93" s="26"/>
      <c r="B93" s="27" t="s">
        <v>75</v>
      </c>
      <c r="C93" s="25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25">
        <f t="shared" si="24"/>
        <v>0</v>
      </c>
      <c r="Q93" s="25"/>
      <c r="R93" s="25"/>
    </row>
    <row r="94" spans="1:18" x14ac:dyDescent="0.3">
      <c r="A94" s="26"/>
      <c r="B94" s="27" t="s">
        <v>76</v>
      </c>
      <c r="C94" s="25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25">
        <f t="shared" si="24"/>
        <v>0</v>
      </c>
      <c r="Q94" s="25"/>
      <c r="R94" s="25"/>
    </row>
    <row r="95" spans="1:18" x14ac:dyDescent="0.3">
      <c r="A95" s="26"/>
      <c r="B95" s="27" t="s">
        <v>77</v>
      </c>
      <c r="C95" s="25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25">
        <f t="shared" si="24"/>
        <v>0</v>
      </c>
      <c r="Q95" s="25"/>
      <c r="R95" s="25"/>
    </row>
    <row r="96" spans="1:18" x14ac:dyDescent="0.3">
      <c r="A96" s="26"/>
      <c r="B96" s="27" t="s">
        <v>78</v>
      </c>
      <c r="C96" s="25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25">
        <f t="shared" si="24"/>
        <v>0</v>
      </c>
      <c r="Q96" s="25"/>
      <c r="R96" s="25"/>
    </row>
    <row r="97" spans="1:18" x14ac:dyDescent="0.3">
      <c r="A97" s="26"/>
      <c r="B97" s="27" t="s">
        <v>79</v>
      </c>
      <c r="C97" s="25"/>
      <c r="D97" s="43">
        <v>150</v>
      </c>
      <c r="E97" s="43">
        <v>150</v>
      </c>
      <c r="F97" s="43">
        <v>150</v>
      </c>
      <c r="G97" s="43"/>
      <c r="H97" s="43"/>
      <c r="I97" s="43"/>
      <c r="J97" s="43"/>
      <c r="K97" s="43"/>
      <c r="L97" s="43"/>
      <c r="M97" s="43"/>
      <c r="N97" s="43"/>
      <c r="O97" s="43"/>
      <c r="P97" s="25">
        <f t="shared" si="24"/>
        <v>450</v>
      </c>
      <c r="Q97" s="25"/>
      <c r="R97" s="25"/>
    </row>
    <row r="98" spans="1:18" x14ac:dyDescent="0.3">
      <c r="A98" s="26"/>
      <c r="B98" s="27" t="s">
        <v>80</v>
      </c>
      <c r="C98" s="25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25">
        <f t="shared" si="24"/>
        <v>0</v>
      </c>
      <c r="Q98" s="25"/>
      <c r="R98" s="25"/>
    </row>
    <row r="99" spans="1:18" x14ac:dyDescent="0.3">
      <c r="A99" s="26"/>
      <c r="B99" s="27" t="s">
        <v>81</v>
      </c>
      <c r="C99" s="25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25">
        <f t="shared" si="24"/>
        <v>0</v>
      </c>
      <c r="Q99" s="25"/>
      <c r="R99" s="25"/>
    </row>
    <row r="100" spans="1:18" x14ac:dyDescent="0.3">
      <c r="A100" s="26"/>
      <c r="B100" s="27" t="s">
        <v>82</v>
      </c>
      <c r="C100" s="25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25">
        <f t="shared" si="24"/>
        <v>0</v>
      </c>
      <c r="Q100" s="25"/>
      <c r="R100" s="25"/>
    </row>
    <row r="101" spans="1:18" x14ac:dyDescent="0.3">
      <c r="A101" s="26"/>
      <c r="B101" s="27" t="s">
        <v>83</v>
      </c>
      <c r="C101" s="25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25">
        <f t="shared" si="24"/>
        <v>0</v>
      </c>
      <c r="Q101" s="25"/>
      <c r="R101" s="25"/>
    </row>
    <row r="102" spans="1:18" x14ac:dyDescent="0.3">
      <c r="A102" s="26"/>
      <c r="B102" s="26"/>
      <c r="C102" s="25"/>
      <c r="D102" s="43"/>
      <c r="E102" s="43"/>
      <c r="F102" s="43"/>
      <c r="G102" s="43"/>
      <c r="H102" s="43"/>
      <c r="I102" s="43"/>
      <c r="J102" s="25"/>
      <c r="K102" s="25"/>
      <c r="L102" s="25"/>
      <c r="M102" s="25"/>
      <c r="N102" s="25"/>
      <c r="O102" s="25"/>
      <c r="P102" s="25">
        <f t="shared" si="24"/>
        <v>0</v>
      </c>
      <c r="Q102" s="25"/>
      <c r="R102" s="25"/>
    </row>
    <row r="103" spans="1:18" x14ac:dyDescent="0.3">
      <c r="A103" s="26"/>
      <c r="B103" s="27"/>
      <c r="C103" s="25"/>
      <c r="D103" s="43"/>
      <c r="E103" s="43"/>
      <c r="F103" s="43"/>
      <c r="G103" s="43"/>
      <c r="H103" s="43"/>
      <c r="I103" s="43"/>
      <c r="J103" s="25"/>
      <c r="K103" s="25"/>
      <c r="L103" s="25"/>
      <c r="M103" s="25"/>
      <c r="N103" s="25"/>
      <c r="O103" s="25"/>
      <c r="P103" s="25">
        <f t="shared" si="24"/>
        <v>0</v>
      </c>
      <c r="Q103" s="25"/>
      <c r="R103" s="25"/>
    </row>
    <row r="104" spans="1:18" x14ac:dyDescent="0.3">
      <c r="A104" s="26"/>
      <c r="B104" s="27"/>
      <c r="C104" s="25"/>
      <c r="D104" s="43"/>
      <c r="E104" s="43"/>
      <c r="F104" s="43"/>
      <c r="G104" s="43"/>
      <c r="H104" s="43"/>
      <c r="I104" s="43"/>
      <c r="J104" s="25"/>
      <c r="K104" s="25"/>
      <c r="L104" s="25"/>
      <c r="M104" s="25"/>
      <c r="N104" s="25"/>
      <c r="O104" s="25"/>
      <c r="P104" s="25">
        <f t="shared" si="24"/>
        <v>0</v>
      </c>
      <c r="Q104" s="25"/>
      <c r="R104" s="25"/>
    </row>
    <row r="105" spans="1:18" x14ac:dyDescent="0.3">
      <c r="A105" s="194" t="s">
        <v>84</v>
      </c>
      <c r="B105" s="194"/>
      <c r="C105" s="25"/>
      <c r="D105" s="30">
        <f t="shared" ref="D105:I105" si="25">SUM(D86:D104)</f>
        <v>785</v>
      </c>
      <c r="E105" s="30">
        <f t="shared" si="25"/>
        <v>885</v>
      </c>
      <c r="F105" s="30">
        <f t="shared" si="25"/>
        <v>860</v>
      </c>
      <c r="G105" s="30">
        <f t="shared" si="25"/>
        <v>0</v>
      </c>
      <c r="H105" s="30">
        <f t="shared" si="25"/>
        <v>0</v>
      </c>
      <c r="I105" s="30">
        <f t="shared" si="25"/>
        <v>0</v>
      </c>
      <c r="J105" s="30">
        <f t="shared" ref="J105:P105" si="26">SUM(J86:J104)</f>
        <v>0</v>
      </c>
      <c r="K105" s="30">
        <f t="shared" si="26"/>
        <v>0</v>
      </c>
      <c r="L105" s="30">
        <f t="shared" si="26"/>
        <v>0</v>
      </c>
      <c r="M105" s="30">
        <f t="shared" si="26"/>
        <v>0</v>
      </c>
      <c r="N105" s="30">
        <f t="shared" si="26"/>
        <v>0</v>
      </c>
      <c r="O105" s="30">
        <f t="shared" si="26"/>
        <v>0</v>
      </c>
      <c r="P105" s="30">
        <f t="shared" si="26"/>
        <v>2530</v>
      </c>
      <c r="Q105" s="25"/>
      <c r="R105" s="25"/>
    </row>
    <row r="106" spans="1:18" x14ac:dyDescent="0.3">
      <c r="A106" s="26"/>
      <c r="B106" s="27" t="s">
        <v>85</v>
      </c>
      <c r="C106" s="25"/>
      <c r="D106" s="30">
        <f t="shared" ref="D106:I106" si="27">D105+D84+D53+D43</f>
        <v>785</v>
      </c>
      <c r="E106" s="30">
        <f t="shared" si="27"/>
        <v>885</v>
      </c>
      <c r="F106" s="30">
        <f t="shared" si="27"/>
        <v>860</v>
      </c>
      <c r="G106" s="30">
        <f t="shared" si="27"/>
        <v>0</v>
      </c>
      <c r="H106" s="30">
        <f t="shared" si="27"/>
        <v>0</v>
      </c>
      <c r="I106" s="30">
        <f t="shared" si="27"/>
        <v>0</v>
      </c>
      <c r="J106" s="30">
        <f t="shared" ref="J106:P106" si="28">J105+J84+J53+J43</f>
        <v>0</v>
      </c>
      <c r="K106" s="30">
        <f t="shared" si="28"/>
        <v>0</v>
      </c>
      <c r="L106" s="30">
        <f t="shared" si="28"/>
        <v>0</v>
      </c>
      <c r="M106" s="30">
        <f t="shared" si="28"/>
        <v>0</v>
      </c>
      <c r="N106" s="30">
        <f t="shared" si="28"/>
        <v>0</v>
      </c>
      <c r="O106" s="30">
        <f t="shared" si="28"/>
        <v>0</v>
      </c>
      <c r="P106" s="30">
        <f t="shared" si="28"/>
        <v>2530</v>
      </c>
      <c r="Q106" s="25"/>
      <c r="R106" s="25"/>
    </row>
    <row r="107" spans="1:18" x14ac:dyDescent="0.3">
      <c r="A107" s="26"/>
      <c r="B107" s="27" t="s">
        <v>86</v>
      </c>
      <c r="C107" s="25"/>
      <c r="D107" s="43"/>
      <c r="E107" s="43"/>
      <c r="F107" s="43"/>
      <c r="G107" s="43"/>
      <c r="H107" s="43"/>
      <c r="I107" s="43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 x14ac:dyDescent="0.3">
      <c r="A108" s="25"/>
      <c r="B108" s="25"/>
      <c r="C108" s="25"/>
      <c r="D108" s="43"/>
      <c r="E108" s="43"/>
      <c r="F108" s="43"/>
      <c r="G108" s="43"/>
      <c r="H108" s="43"/>
      <c r="I108" s="43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 ht="15" thickBot="1" x14ac:dyDescent="0.35">
      <c r="A109" s="25"/>
      <c r="B109" s="25" t="s">
        <v>112</v>
      </c>
      <c r="C109" s="25"/>
      <c r="D109" s="31">
        <f t="shared" ref="D109:I109" si="29">D32-D106-D107</f>
        <v>-785</v>
      </c>
      <c r="E109" s="31">
        <f t="shared" si="29"/>
        <v>39115</v>
      </c>
      <c r="F109" s="31">
        <f t="shared" si="29"/>
        <v>-860</v>
      </c>
      <c r="G109" s="31">
        <f t="shared" si="29"/>
        <v>0</v>
      </c>
      <c r="H109" s="31">
        <f t="shared" si="29"/>
        <v>0</v>
      </c>
      <c r="I109" s="31">
        <f t="shared" si="29"/>
        <v>0</v>
      </c>
      <c r="J109" s="31">
        <f t="shared" ref="J109:P109" si="30">J32-J106-J107</f>
        <v>0</v>
      </c>
      <c r="K109" s="31">
        <f t="shared" si="30"/>
        <v>0</v>
      </c>
      <c r="L109" s="31">
        <f t="shared" si="30"/>
        <v>0</v>
      </c>
      <c r="M109" s="31">
        <f t="shared" si="30"/>
        <v>0</v>
      </c>
      <c r="N109" s="31">
        <f t="shared" si="30"/>
        <v>0</v>
      </c>
      <c r="O109" s="31">
        <f t="shared" si="30"/>
        <v>0</v>
      </c>
      <c r="P109" s="31">
        <f t="shared" si="30"/>
        <v>37470</v>
      </c>
      <c r="Q109" s="25"/>
      <c r="R109" s="25"/>
    </row>
    <row r="110" spans="1:18" ht="15" thickTop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1:18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1:18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1:18" x14ac:dyDescent="0.3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1:18" x14ac:dyDescent="0.3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1:18" x14ac:dyDescent="0.3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 x14ac:dyDescent="0.3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 x14ac:dyDescent="0.3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 x14ac:dyDescent="0.3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 x14ac:dyDescent="0.3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 x14ac:dyDescent="0.3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 x14ac:dyDescent="0.3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 x14ac:dyDescent="0.3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 x14ac:dyDescent="0.3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 x14ac:dyDescent="0.3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1:18" x14ac:dyDescent="0.3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1:18" x14ac:dyDescent="0.3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1:18" x14ac:dyDescent="0.3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1:18" x14ac:dyDescent="0.3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1:18" x14ac:dyDescent="0.3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1:18" x14ac:dyDescent="0.3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 x14ac:dyDescent="0.3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1:18" x14ac:dyDescent="0.3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1:18" x14ac:dyDescent="0.3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 x14ac:dyDescent="0.3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x14ac:dyDescent="0.3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1:18" x14ac:dyDescent="0.3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1:18" x14ac:dyDescent="0.3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 x14ac:dyDescent="0.3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:18" x14ac:dyDescent="0.3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:18" x14ac:dyDescent="0.3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:18" x14ac:dyDescent="0.3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 x14ac:dyDescent="0.3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:18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:18" x14ac:dyDescent="0.3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:18" x14ac:dyDescent="0.3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:18" x14ac:dyDescent="0.3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:18" x14ac:dyDescent="0.3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:18" x14ac:dyDescent="0.3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:18" x14ac:dyDescent="0.3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1:18" x14ac:dyDescent="0.3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1:18" x14ac:dyDescent="0.3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:18" x14ac:dyDescent="0.3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1:18" x14ac:dyDescent="0.3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:18" x14ac:dyDescent="0.3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1:18" x14ac:dyDescent="0.3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 x14ac:dyDescent="0.3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1:18" x14ac:dyDescent="0.3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11"/>
  <sheetViews>
    <sheetView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D38" sqref="D38:O38"/>
    </sheetView>
  </sheetViews>
  <sheetFormatPr defaultRowHeight="14.4" x14ac:dyDescent="0.3"/>
  <cols>
    <col min="2" max="2" width="28.88671875" customWidth="1"/>
    <col min="3" max="3" width="1.44140625" customWidth="1"/>
  </cols>
  <sheetData>
    <row r="1" spans="1:18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x14ac:dyDescent="0.3">
      <c r="A3" s="25"/>
      <c r="B3" s="25"/>
      <c r="C3" s="25"/>
      <c r="D3" s="22" t="s">
        <v>100</v>
      </c>
      <c r="E3" s="22" t="s">
        <v>101</v>
      </c>
      <c r="F3" s="22" t="s">
        <v>102</v>
      </c>
      <c r="G3" s="22" t="s">
        <v>103</v>
      </c>
      <c r="H3" s="22" t="s">
        <v>104</v>
      </c>
      <c r="I3" s="22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  <c r="Q3" s="25"/>
      <c r="R3" s="25"/>
    </row>
    <row r="4" spans="1:18" x14ac:dyDescent="0.3">
      <c r="A4" s="194" t="s">
        <v>99</v>
      </c>
      <c r="B4" s="19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x14ac:dyDescent="0.3">
      <c r="A5" s="194" t="s">
        <v>1</v>
      </c>
      <c r="B5" s="19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x14ac:dyDescent="0.3">
      <c r="A6" s="26"/>
      <c r="B6" s="94" t="s">
        <v>2</v>
      </c>
      <c r="C6" s="25"/>
      <c r="D6" s="43">
        <f>CADI!J59</f>
        <v>24555.115499999996</v>
      </c>
      <c r="E6" s="43">
        <f>CADI!K59</f>
        <v>22178.813999999998</v>
      </c>
      <c r="F6" s="43">
        <f>CADI!L59</f>
        <v>24555.115499999996</v>
      </c>
      <c r="G6" s="43">
        <f>CADI!M59</f>
        <v>24388.59</v>
      </c>
      <c r="H6" s="43">
        <f>CADI!N59</f>
        <v>25201.542999999998</v>
      </c>
      <c r="I6" s="43">
        <f>CADI!O59</f>
        <v>24388.59</v>
      </c>
      <c r="J6" s="43">
        <f>CADI!P59</f>
        <v>25201.542999999998</v>
      </c>
      <c r="K6" s="43">
        <f>CADI!Q59</f>
        <v>25201.542999999998</v>
      </c>
      <c r="L6" s="43">
        <f>CADI!R59</f>
        <v>24388.59</v>
      </c>
      <c r="M6" s="43">
        <f>CADI!S59</f>
        <v>25201.542999999998</v>
      </c>
      <c r="N6" s="43">
        <f>CADI!T59</f>
        <v>24388.59</v>
      </c>
      <c r="O6" s="43">
        <f>CADI!U59</f>
        <v>25201.542999999998</v>
      </c>
      <c r="P6" s="43">
        <f t="shared" ref="P6:P11" si="0">SUM(D6:O6)</f>
        <v>294851.12</v>
      </c>
      <c r="Q6" s="25"/>
      <c r="R6" s="25"/>
    </row>
    <row r="7" spans="1:18" x14ac:dyDescent="0.3">
      <c r="A7" s="26"/>
      <c r="B7" s="94" t="s">
        <v>204</v>
      </c>
      <c r="C7" s="25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>
        <f t="shared" si="0"/>
        <v>0</v>
      </c>
      <c r="Q7" s="25"/>
      <c r="R7" s="25"/>
    </row>
    <row r="8" spans="1:18" s="42" customFormat="1" x14ac:dyDescent="0.3">
      <c r="A8" s="26"/>
      <c r="B8" s="94" t="s">
        <v>205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>
        <f t="shared" si="0"/>
        <v>0</v>
      </c>
      <c r="Q8" s="43"/>
      <c r="R8" s="43"/>
    </row>
    <row r="9" spans="1:18" x14ac:dyDescent="0.3">
      <c r="A9" s="26"/>
      <c r="B9" s="94" t="s">
        <v>4</v>
      </c>
      <c r="C9" s="25"/>
      <c r="D9" s="43">
        <f>922*0.95*4</f>
        <v>3503.6</v>
      </c>
      <c r="E9" s="43">
        <f t="shared" ref="E9:O9" si="1">922*0.95*4</f>
        <v>3503.6</v>
      </c>
      <c r="F9" s="43">
        <f t="shared" si="1"/>
        <v>3503.6</v>
      </c>
      <c r="G9" s="43">
        <f t="shared" si="1"/>
        <v>3503.6</v>
      </c>
      <c r="H9" s="43">
        <f t="shared" si="1"/>
        <v>3503.6</v>
      </c>
      <c r="I9" s="43">
        <f t="shared" si="1"/>
        <v>3503.6</v>
      </c>
      <c r="J9" s="43">
        <f t="shared" si="1"/>
        <v>3503.6</v>
      </c>
      <c r="K9" s="43">
        <f t="shared" si="1"/>
        <v>3503.6</v>
      </c>
      <c r="L9" s="43">
        <f t="shared" si="1"/>
        <v>3503.6</v>
      </c>
      <c r="M9" s="43">
        <f t="shared" si="1"/>
        <v>3503.6</v>
      </c>
      <c r="N9" s="43">
        <f t="shared" si="1"/>
        <v>3503.6</v>
      </c>
      <c r="O9" s="43">
        <f t="shared" si="1"/>
        <v>3503.6</v>
      </c>
      <c r="P9" s="43">
        <f t="shared" si="0"/>
        <v>42043.19999999999</v>
      </c>
      <c r="Q9" s="25"/>
      <c r="R9" s="25"/>
    </row>
    <row r="10" spans="1:18" s="42" customFormat="1" x14ac:dyDescent="0.3">
      <c r="A10" s="26"/>
      <c r="B10" s="94" t="s">
        <v>206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 t="shared" si="0"/>
        <v>0</v>
      </c>
      <c r="Q10" s="43"/>
      <c r="R10" s="43"/>
    </row>
    <row r="11" spans="1:18" x14ac:dyDescent="0.3">
      <c r="A11" s="26"/>
      <c r="B11" s="94" t="s">
        <v>207</v>
      </c>
      <c r="C11" s="25"/>
      <c r="D11" s="43"/>
      <c r="E11" s="43"/>
      <c r="F11" s="43"/>
      <c r="G11" s="43"/>
      <c r="H11" s="43"/>
      <c r="I11" s="43"/>
      <c r="J11" s="25"/>
      <c r="K11" s="25"/>
      <c r="L11" s="25"/>
      <c r="M11" s="25"/>
      <c r="N11" s="25"/>
      <c r="O11" s="25"/>
      <c r="P11" s="25">
        <f t="shared" si="0"/>
        <v>0</v>
      </c>
      <c r="Q11" s="25"/>
      <c r="R11" s="25"/>
    </row>
    <row r="12" spans="1:18" x14ac:dyDescent="0.3">
      <c r="A12" s="194" t="s">
        <v>6</v>
      </c>
      <c r="B12" s="194"/>
      <c r="C12" s="25"/>
      <c r="D12" s="28">
        <f t="shared" ref="D12:I12" si="2">SUM(D6:D11)</f>
        <v>28058.715499999995</v>
      </c>
      <c r="E12" s="28">
        <f t="shared" si="2"/>
        <v>25682.413999999997</v>
      </c>
      <c r="F12" s="28">
        <f t="shared" si="2"/>
        <v>28058.715499999995</v>
      </c>
      <c r="G12" s="28">
        <f t="shared" si="2"/>
        <v>27892.19</v>
      </c>
      <c r="H12" s="28">
        <f t="shared" si="2"/>
        <v>28705.142999999996</v>
      </c>
      <c r="I12" s="28">
        <f t="shared" si="2"/>
        <v>27892.19</v>
      </c>
      <c r="J12" s="28">
        <f t="shared" ref="J12:P12" si="3">SUM(J6:J11)</f>
        <v>28705.142999999996</v>
      </c>
      <c r="K12" s="28">
        <f t="shared" si="3"/>
        <v>28705.142999999996</v>
      </c>
      <c r="L12" s="28">
        <f t="shared" si="3"/>
        <v>27892.19</v>
      </c>
      <c r="M12" s="28">
        <f t="shared" si="3"/>
        <v>28705.142999999996</v>
      </c>
      <c r="N12" s="28">
        <f t="shared" si="3"/>
        <v>27892.19</v>
      </c>
      <c r="O12" s="28">
        <f t="shared" si="3"/>
        <v>28705.142999999996</v>
      </c>
      <c r="P12" s="28">
        <f t="shared" si="3"/>
        <v>336894.32</v>
      </c>
      <c r="Q12" s="29">
        <f>P12-P6-P7-P9-P11</f>
        <v>2.1827872842550278E-11</v>
      </c>
      <c r="R12" s="25"/>
    </row>
    <row r="13" spans="1:18" x14ac:dyDescent="0.3">
      <c r="A13" s="194" t="s">
        <v>7</v>
      </c>
      <c r="B13" s="194"/>
      <c r="C13" s="25"/>
      <c r="D13" s="43"/>
      <c r="E13" s="43"/>
      <c r="F13" s="43"/>
      <c r="G13" s="43"/>
      <c r="H13" s="43"/>
      <c r="I13" s="43"/>
      <c r="J13" s="25"/>
      <c r="K13" s="25"/>
      <c r="L13" s="25"/>
      <c r="M13" s="25"/>
      <c r="N13" s="25"/>
      <c r="O13" s="25"/>
      <c r="P13" s="25"/>
      <c r="Q13" s="25"/>
      <c r="R13" s="25"/>
    </row>
    <row r="14" spans="1:18" x14ac:dyDescent="0.3">
      <c r="A14" s="26"/>
      <c r="B14" s="97" t="s">
        <v>8</v>
      </c>
      <c r="C14" s="25"/>
      <c r="D14" s="43"/>
      <c r="E14" s="43"/>
      <c r="F14" s="43"/>
      <c r="G14" s="43"/>
      <c r="H14" s="43"/>
      <c r="I14" s="43"/>
      <c r="J14" s="25"/>
      <c r="K14" s="25"/>
      <c r="L14" s="25"/>
      <c r="M14" s="25"/>
      <c r="N14" s="25"/>
      <c r="O14" s="25"/>
      <c r="P14" s="25">
        <f>SUM(D14:O14)</f>
        <v>0</v>
      </c>
      <c r="Q14" s="25"/>
      <c r="R14" s="25"/>
    </row>
    <row r="15" spans="1:18" x14ac:dyDescent="0.3">
      <c r="A15" s="26"/>
      <c r="B15" s="97" t="s">
        <v>9</v>
      </c>
      <c r="C15" s="25"/>
      <c r="D15" s="43"/>
      <c r="E15" s="43"/>
      <c r="F15" s="43"/>
      <c r="G15" s="43"/>
      <c r="H15" s="43"/>
      <c r="I15" s="43"/>
      <c r="J15" s="25"/>
      <c r="K15" s="25"/>
      <c r="L15" s="25"/>
      <c r="M15" s="25"/>
      <c r="N15" s="25"/>
      <c r="O15" s="25"/>
      <c r="P15" s="25">
        <f>SUM(D15:O15)</f>
        <v>0</v>
      </c>
      <c r="Q15" s="25"/>
      <c r="R15" s="25"/>
    </row>
    <row r="16" spans="1:18" x14ac:dyDescent="0.3">
      <c r="A16" s="26"/>
      <c r="B16" s="97" t="s">
        <v>219</v>
      </c>
      <c r="C16" s="25"/>
      <c r="D16" s="43"/>
      <c r="E16" s="43"/>
      <c r="F16" s="43"/>
      <c r="G16" s="43"/>
      <c r="H16" s="43"/>
      <c r="I16" s="43"/>
      <c r="J16" s="25"/>
      <c r="K16" s="25"/>
      <c r="L16" s="25"/>
      <c r="M16" s="25"/>
      <c r="N16" s="25"/>
      <c r="O16" s="25"/>
      <c r="P16" s="25">
        <f>SUM(D16:O16)</f>
        <v>0</v>
      </c>
      <c r="Q16" s="25"/>
      <c r="R16" s="25"/>
    </row>
    <row r="17" spans="1:18" x14ac:dyDescent="0.3">
      <c r="A17" s="26"/>
      <c r="B17" s="66" t="s">
        <v>16</v>
      </c>
      <c r="C17" s="25"/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>SUM(D17:O17)</f>
        <v>0</v>
      </c>
      <c r="Q17" s="25"/>
      <c r="R17" s="25"/>
    </row>
    <row r="18" spans="1:18" x14ac:dyDescent="0.3">
      <c r="A18" s="194" t="s">
        <v>10</v>
      </c>
      <c r="B18" s="194"/>
      <c r="C18" s="25"/>
      <c r="D18" s="28">
        <f t="shared" ref="D18:I18" si="4">SUM(D14:D17)</f>
        <v>0</v>
      </c>
      <c r="E18" s="28">
        <f t="shared" si="4"/>
        <v>0</v>
      </c>
      <c r="F18" s="28">
        <f t="shared" si="4"/>
        <v>0</v>
      </c>
      <c r="G18" s="28">
        <f t="shared" si="4"/>
        <v>0</v>
      </c>
      <c r="H18" s="28">
        <f t="shared" si="4"/>
        <v>0</v>
      </c>
      <c r="I18" s="28">
        <f t="shared" si="4"/>
        <v>0</v>
      </c>
      <c r="J18" s="28">
        <f t="shared" ref="J18:P18" si="5">SUM(J14:J17)</f>
        <v>0</v>
      </c>
      <c r="K18" s="28">
        <f t="shared" si="5"/>
        <v>0</v>
      </c>
      <c r="L18" s="28">
        <f t="shared" si="5"/>
        <v>0</v>
      </c>
      <c r="M18" s="28">
        <f t="shared" si="5"/>
        <v>0</v>
      </c>
      <c r="N18" s="28">
        <f t="shared" si="5"/>
        <v>0</v>
      </c>
      <c r="O18" s="28">
        <f t="shared" si="5"/>
        <v>0</v>
      </c>
      <c r="P18" s="28">
        <f t="shared" si="5"/>
        <v>0</v>
      </c>
      <c r="Q18" s="29">
        <f>P18-P14-P15-P16-P17</f>
        <v>0</v>
      </c>
      <c r="R18" s="25"/>
    </row>
    <row r="19" spans="1:18" x14ac:dyDescent="0.3">
      <c r="A19" s="194" t="s">
        <v>11</v>
      </c>
      <c r="B19" s="194"/>
      <c r="C19" s="25"/>
      <c r="D19" s="43"/>
      <c r="E19" s="43"/>
      <c r="F19" s="43"/>
      <c r="G19" s="43"/>
      <c r="H19" s="43"/>
      <c r="I19" s="43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3">
      <c r="A20" s="26"/>
      <c r="B20" s="27" t="s">
        <v>12</v>
      </c>
      <c r="C20" s="25"/>
      <c r="D20" s="43"/>
      <c r="E20" s="43"/>
      <c r="F20" s="43"/>
      <c r="G20" s="43"/>
      <c r="H20" s="43"/>
      <c r="I20" s="43"/>
      <c r="J20" s="25"/>
      <c r="K20" s="25"/>
      <c r="L20" s="25"/>
      <c r="M20" s="25"/>
      <c r="N20" s="25"/>
      <c r="O20" s="25"/>
      <c r="P20" s="25">
        <f t="shared" ref="P20:P25" si="6">SUM(D20:O20)</f>
        <v>0</v>
      </c>
      <c r="Q20" s="25"/>
      <c r="R20" s="25"/>
    </row>
    <row r="21" spans="1:18" x14ac:dyDescent="0.3">
      <c r="A21" s="26"/>
      <c r="B21" s="27" t="s">
        <v>96</v>
      </c>
      <c r="C21" s="25"/>
      <c r="D21" s="43"/>
      <c r="E21" s="43"/>
      <c r="F21" s="43"/>
      <c r="G21" s="43"/>
      <c r="H21" s="43"/>
      <c r="I21" s="43"/>
      <c r="J21" s="25"/>
      <c r="K21" s="25"/>
      <c r="L21" s="25"/>
      <c r="M21" s="25"/>
      <c r="N21" s="25"/>
      <c r="O21" s="25"/>
      <c r="P21" s="25">
        <f t="shared" si="6"/>
        <v>0</v>
      </c>
      <c r="Q21" s="25"/>
      <c r="R21" s="25"/>
    </row>
    <row r="22" spans="1:18" x14ac:dyDescent="0.3">
      <c r="A22" s="26"/>
      <c r="B22" s="27" t="s">
        <v>97</v>
      </c>
      <c r="C22" s="25"/>
      <c r="D22" s="43"/>
      <c r="E22" s="43"/>
      <c r="F22" s="43"/>
      <c r="G22" s="43"/>
      <c r="H22" s="43"/>
      <c r="I22" s="43"/>
      <c r="J22" s="25"/>
      <c r="K22" s="25"/>
      <c r="L22" s="25"/>
      <c r="M22" s="25"/>
      <c r="N22" s="25"/>
      <c r="O22" s="25"/>
      <c r="P22" s="25">
        <f t="shared" si="6"/>
        <v>0</v>
      </c>
      <c r="Q22" s="25"/>
      <c r="R22" s="25"/>
    </row>
    <row r="23" spans="1:18" x14ac:dyDescent="0.3">
      <c r="A23" s="26"/>
      <c r="B23" s="27" t="s">
        <v>13</v>
      </c>
      <c r="C23" s="25"/>
      <c r="D23" s="43"/>
      <c r="E23" s="43"/>
      <c r="F23" s="43"/>
      <c r="G23" s="43"/>
      <c r="H23" s="43"/>
      <c r="I23" s="43"/>
      <c r="J23" s="25"/>
      <c r="K23" s="25"/>
      <c r="L23" s="25"/>
      <c r="M23" s="25"/>
      <c r="N23" s="25"/>
      <c r="O23" s="25"/>
      <c r="P23" s="25">
        <f t="shared" si="6"/>
        <v>0</v>
      </c>
      <c r="Q23" s="25"/>
      <c r="R23" s="25"/>
    </row>
    <row r="24" spans="1:18" x14ac:dyDescent="0.3">
      <c r="A24" s="26"/>
      <c r="B24" s="27" t="s">
        <v>14</v>
      </c>
      <c r="C24" s="25"/>
      <c r="D24" s="43"/>
      <c r="E24" s="43"/>
      <c r="F24" s="43"/>
      <c r="G24" s="43"/>
      <c r="H24" s="43"/>
      <c r="I24" s="43"/>
      <c r="J24" s="25"/>
      <c r="K24" s="25"/>
      <c r="L24" s="25"/>
      <c r="M24" s="25"/>
      <c r="N24" s="25"/>
      <c r="O24" s="25"/>
      <c r="P24" s="25">
        <f t="shared" si="6"/>
        <v>0</v>
      </c>
      <c r="Q24" s="25"/>
      <c r="R24" s="25"/>
    </row>
    <row r="25" spans="1:18" x14ac:dyDescent="0.3">
      <c r="A25" s="26"/>
      <c r="B25" s="26"/>
      <c r="C25" s="25"/>
      <c r="D25" s="43"/>
      <c r="E25" s="43"/>
      <c r="F25" s="43"/>
      <c r="G25" s="43"/>
      <c r="H25" s="43"/>
      <c r="I25" s="43"/>
      <c r="J25" s="25"/>
      <c r="K25" s="25"/>
      <c r="L25" s="25"/>
      <c r="M25" s="25"/>
      <c r="N25" s="25"/>
      <c r="O25" s="25"/>
      <c r="P25" s="25">
        <f t="shared" si="6"/>
        <v>0</v>
      </c>
      <c r="Q25" s="25"/>
      <c r="R25" s="25"/>
    </row>
    <row r="26" spans="1:18" x14ac:dyDescent="0.3">
      <c r="A26" s="194" t="s">
        <v>15</v>
      </c>
      <c r="B26" s="194"/>
      <c r="C26" s="25"/>
      <c r="D26" s="28">
        <f t="shared" ref="D26:I26" si="7">SUM(D20:D25)</f>
        <v>0</v>
      </c>
      <c r="E26" s="28">
        <f t="shared" si="7"/>
        <v>0</v>
      </c>
      <c r="F26" s="28">
        <f t="shared" si="7"/>
        <v>0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ref="J26:P26" si="8">SUM(J20:J25)</f>
        <v>0</v>
      </c>
      <c r="K26" s="28">
        <f t="shared" si="8"/>
        <v>0</v>
      </c>
      <c r="L26" s="28">
        <f t="shared" si="8"/>
        <v>0</v>
      </c>
      <c r="M26" s="28">
        <f t="shared" si="8"/>
        <v>0</v>
      </c>
      <c r="N26" s="28">
        <f t="shared" si="8"/>
        <v>0</v>
      </c>
      <c r="O26" s="28">
        <f t="shared" si="8"/>
        <v>0</v>
      </c>
      <c r="P26" s="28">
        <f t="shared" si="8"/>
        <v>0</v>
      </c>
      <c r="Q26" s="29">
        <f>SUM(P20:P25)-P26</f>
        <v>0</v>
      </c>
      <c r="R26" s="25"/>
    </row>
    <row r="27" spans="1:18" x14ac:dyDescent="0.3">
      <c r="A27" s="194" t="s">
        <v>16</v>
      </c>
      <c r="B27" s="194"/>
      <c r="C27" s="25"/>
      <c r="D27" s="43"/>
      <c r="E27" s="43"/>
      <c r="F27" s="43"/>
      <c r="G27" s="43"/>
      <c r="H27" s="43"/>
      <c r="I27" s="43"/>
      <c r="J27" s="25"/>
      <c r="K27" s="25"/>
      <c r="L27" s="25"/>
      <c r="M27" s="25"/>
      <c r="N27" s="25"/>
      <c r="O27" s="25"/>
      <c r="P27" s="25"/>
      <c r="Q27" s="25"/>
      <c r="R27" s="25"/>
    </row>
    <row r="28" spans="1:18" x14ac:dyDescent="0.3">
      <c r="A28" s="27" t="s">
        <v>17</v>
      </c>
      <c r="B28" s="27" t="s">
        <v>18</v>
      </c>
      <c r="C28" s="25"/>
      <c r="D28" s="43"/>
      <c r="E28" s="43"/>
      <c r="F28" s="43"/>
      <c r="G28" s="43"/>
      <c r="H28" s="43"/>
      <c r="I28" s="43"/>
      <c r="J28" s="25"/>
      <c r="K28" s="25"/>
      <c r="L28" s="25"/>
      <c r="M28" s="25"/>
      <c r="N28" s="25"/>
      <c r="O28" s="25"/>
      <c r="P28" s="25">
        <f>SUM(D28:O28)</f>
        <v>0</v>
      </c>
      <c r="Q28" s="25"/>
      <c r="R28" s="25"/>
    </row>
    <row r="29" spans="1:18" x14ac:dyDescent="0.3">
      <c r="A29" s="27" t="s">
        <v>17</v>
      </c>
      <c r="B29" s="27" t="s">
        <v>19</v>
      </c>
      <c r="C29" s="25"/>
      <c r="D29" s="43"/>
      <c r="E29" s="43"/>
      <c r="F29" s="43"/>
      <c r="G29" s="43"/>
      <c r="H29" s="43"/>
      <c r="I29" s="43"/>
      <c r="J29" s="25"/>
      <c r="K29" s="25"/>
      <c r="L29" s="25"/>
      <c r="M29" s="25"/>
      <c r="N29" s="25"/>
      <c r="O29" s="25"/>
      <c r="P29" s="25">
        <f>SUM(D29:O29)</f>
        <v>0</v>
      </c>
      <c r="Q29" s="25"/>
      <c r="R29" s="25"/>
    </row>
    <row r="30" spans="1:18" x14ac:dyDescent="0.3">
      <c r="A30" s="27" t="s">
        <v>17</v>
      </c>
      <c r="B30" s="27" t="s">
        <v>20</v>
      </c>
      <c r="C30" s="25"/>
      <c r="D30" s="43"/>
      <c r="E30" s="43"/>
      <c r="F30" s="43"/>
      <c r="G30" s="43"/>
      <c r="H30" s="43"/>
      <c r="I30" s="43"/>
      <c r="J30" s="25"/>
      <c r="K30" s="25"/>
      <c r="L30" s="25"/>
      <c r="M30" s="25"/>
      <c r="N30" s="25"/>
      <c r="O30" s="25"/>
      <c r="P30" s="25">
        <f>SUM(D30:O30)</f>
        <v>0</v>
      </c>
      <c r="Q30" s="25"/>
      <c r="R30" s="25"/>
    </row>
    <row r="31" spans="1:18" x14ac:dyDescent="0.3">
      <c r="A31" s="27" t="s">
        <v>17</v>
      </c>
      <c r="B31" s="27" t="s">
        <v>21</v>
      </c>
      <c r="C31" s="25"/>
      <c r="D31" s="43"/>
      <c r="E31" s="43"/>
      <c r="F31" s="43"/>
      <c r="G31" s="43"/>
      <c r="H31" s="43"/>
      <c r="I31" s="43"/>
      <c r="J31" s="25"/>
      <c r="K31" s="25"/>
      <c r="L31" s="25"/>
      <c r="M31" s="25"/>
      <c r="N31" s="25"/>
      <c r="O31" s="25"/>
      <c r="P31" s="25">
        <f>SUM(D31:O31)</f>
        <v>0</v>
      </c>
      <c r="Q31" s="25"/>
      <c r="R31" s="25"/>
    </row>
    <row r="32" spans="1:18" x14ac:dyDescent="0.3">
      <c r="A32" s="26"/>
      <c r="B32" s="26"/>
      <c r="C32" s="25"/>
      <c r="D32" s="30">
        <f t="shared" ref="D32:I32" si="9">D12+D18+D26+D28+D29+D30+D31</f>
        <v>28058.715499999995</v>
      </c>
      <c r="E32" s="30">
        <f t="shared" si="9"/>
        <v>25682.413999999997</v>
      </c>
      <c r="F32" s="30">
        <f t="shared" si="9"/>
        <v>28058.715499999995</v>
      </c>
      <c r="G32" s="30">
        <f t="shared" si="9"/>
        <v>27892.19</v>
      </c>
      <c r="H32" s="30">
        <f t="shared" si="9"/>
        <v>28705.142999999996</v>
      </c>
      <c r="I32" s="30">
        <f t="shared" si="9"/>
        <v>27892.19</v>
      </c>
      <c r="J32" s="30">
        <f t="shared" ref="J32:P32" si="10">J12+J18+J26+J28+J29+J30+J31</f>
        <v>28705.142999999996</v>
      </c>
      <c r="K32" s="30">
        <f t="shared" si="10"/>
        <v>28705.142999999996</v>
      </c>
      <c r="L32" s="30">
        <f t="shared" si="10"/>
        <v>27892.19</v>
      </c>
      <c r="M32" s="30">
        <f t="shared" si="10"/>
        <v>28705.142999999996</v>
      </c>
      <c r="N32" s="30">
        <f t="shared" si="10"/>
        <v>27892.19</v>
      </c>
      <c r="O32" s="30">
        <f t="shared" si="10"/>
        <v>28705.142999999996</v>
      </c>
      <c r="P32" s="30">
        <f t="shared" si="10"/>
        <v>336894.32</v>
      </c>
      <c r="Q32" s="29">
        <f>SUM(P28:P31)*P32</f>
        <v>0</v>
      </c>
      <c r="R32" s="25"/>
    </row>
    <row r="33" spans="1:18" x14ac:dyDescent="0.3">
      <c r="A33" s="26"/>
      <c r="B33" s="26"/>
      <c r="C33" s="25"/>
      <c r="D33" s="43"/>
      <c r="E33" s="43"/>
      <c r="F33" s="43"/>
      <c r="G33" s="43"/>
      <c r="H33" s="43"/>
      <c r="I33" s="43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3">
      <c r="A34" s="194" t="s">
        <v>22</v>
      </c>
      <c r="B34" s="194"/>
      <c r="C34" s="25"/>
      <c r="D34" s="43"/>
      <c r="E34" s="43"/>
      <c r="F34" s="43"/>
      <c r="G34" s="43"/>
      <c r="H34" s="43"/>
      <c r="I34" s="43"/>
      <c r="J34" s="25"/>
      <c r="K34" s="25"/>
      <c r="L34" s="25"/>
      <c r="M34" s="25"/>
      <c r="N34" s="25"/>
      <c r="O34" s="25"/>
      <c r="P34" s="25"/>
      <c r="Q34" s="25"/>
      <c r="R34" s="25"/>
    </row>
    <row r="35" spans="1:18" x14ac:dyDescent="0.3">
      <c r="A35" s="26"/>
      <c r="B35" s="27" t="s">
        <v>23</v>
      </c>
      <c r="C35" s="25"/>
      <c r="D35" s="43">
        <f>Sheet22!I104</f>
        <v>18383.990400000002</v>
      </c>
      <c r="E35" s="43">
        <f>Sheet22!J104</f>
        <v>18383.990400000002</v>
      </c>
      <c r="F35" s="43">
        <f>Sheet22!K104</f>
        <v>27575.9856</v>
      </c>
      <c r="G35" s="43">
        <f>Sheet22!L104</f>
        <v>18383.990400000002</v>
      </c>
      <c r="H35" s="43">
        <f>Sheet22!M104</f>
        <v>18383.990400000002</v>
      </c>
      <c r="I35" s="43">
        <f>Sheet22!N104</f>
        <v>18383.990400000002</v>
      </c>
      <c r="J35" s="43">
        <f>Sheet22!O104</f>
        <v>18383.990400000002</v>
      </c>
      <c r="K35" s="43">
        <f>Sheet22!P104</f>
        <v>27575.9856</v>
      </c>
      <c r="L35" s="43">
        <f>Sheet22!Q104</f>
        <v>18383.990400000002</v>
      </c>
      <c r="M35" s="43">
        <f>Sheet22!R104</f>
        <v>18383.990400000002</v>
      </c>
      <c r="N35" s="43">
        <f>Sheet22!S104</f>
        <v>18383.990400000002</v>
      </c>
      <c r="O35" s="43">
        <f>Sheet22!T104</f>
        <v>18383.990400000002</v>
      </c>
      <c r="P35" s="25">
        <f>SUM(D35:O35)</f>
        <v>238991.87520000007</v>
      </c>
      <c r="Q35" s="25"/>
      <c r="R35" s="25"/>
    </row>
    <row r="36" spans="1:18" x14ac:dyDescent="0.3">
      <c r="A36" s="26"/>
      <c r="B36" s="27" t="s">
        <v>24</v>
      </c>
      <c r="C36" s="25"/>
      <c r="D36" s="43">
        <f>D35*0.0735</f>
        <v>1351.2232944000002</v>
      </c>
      <c r="E36" s="43">
        <f t="shared" ref="E36:O36" si="11">E35*0.0735</f>
        <v>1351.2232944000002</v>
      </c>
      <c r="F36" s="43">
        <f t="shared" si="11"/>
        <v>2026.8349415999999</v>
      </c>
      <c r="G36" s="43">
        <f t="shared" si="11"/>
        <v>1351.2232944000002</v>
      </c>
      <c r="H36" s="43">
        <f t="shared" si="11"/>
        <v>1351.2232944000002</v>
      </c>
      <c r="I36" s="43">
        <f t="shared" si="11"/>
        <v>1351.2232944000002</v>
      </c>
      <c r="J36" s="43">
        <f t="shared" si="11"/>
        <v>1351.2232944000002</v>
      </c>
      <c r="K36" s="43">
        <f t="shared" si="11"/>
        <v>2026.8349415999999</v>
      </c>
      <c r="L36" s="43">
        <f t="shared" si="11"/>
        <v>1351.2232944000002</v>
      </c>
      <c r="M36" s="43">
        <f t="shared" si="11"/>
        <v>1351.2232944000002</v>
      </c>
      <c r="N36" s="43">
        <f t="shared" si="11"/>
        <v>1351.2232944000002</v>
      </c>
      <c r="O36" s="43">
        <f t="shared" si="11"/>
        <v>1351.2232944000002</v>
      </c>
      <c r="P36" s="25">
        <f t="shared" ref="P36:P42" si="12">SUM(D36:O36)</f>
        <v>17565.902827200003</v>
      </c>
      <c r="Q36" s="25"/>
      <c r="R36" s="25"/>
    </row>
    <row r="37" spans="1:18" x14ac:dyDescent="0.3">
      <c r="A37" s="26"/>
      <c r="B37" s="27" t="s">
        <v>25</v>
      </c>
      <c r="C37" s="25"/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25">
        <f t="shared" si="12"/>
        <v>0</v>
      </c>
      <c r="Q37" s="25"/>
      <c r="R37" s="25"/>
    </row>
    <row r="38" spans="1:18" x14ac:dyDescent="0.3">
      <c r="A38" s="26"/>
      <c r="B38" s="27" t="s">
        <v>26</v>
      </c>
      <c r="C38" s="25"/>
      <c r="D38" s="43">
        <f>D35*0.12042</f>
        <v>2213.8001239680002</v>
      </c>
      <c r="E38" s="43">
        <f>E35*0.120421</f>
        <v>2213.8185079584005</v>
      </c>
      <c r="F38" s="43">
        <f t="shared" ref="F38:O38" si="13">F35*0.120421</f>
        <v>3320.7277619376</v>
      </c>
      <c r="G38" s="43">
        <f t="shared" si="13"/>
        <v>2213.8185079584005</v>
      </c>
      <c r="H38" s="43">
        <f t="shared" si="13"/>
        <v>2213.8185079584005</v>
      </c>
      <c r="I38" s="43">
        <f t="shared" si="13"/>
        <v>2213.8185079584005</v>
      </c>
      <c r="J38" s="43">
        <f t="shared" si="13"/>
        <v>2213.8185079584005</v>
      </c>
      <c r="K38" s="43">
        <f t="shared" si="13"/>
        <v>3320.7277619376</v>
      </c>
      <c r="L38" s="43">
        <f t="shared" si="13"/>
        <v>2213.8185079584005</v>
      </c>
      <c r="M38" s="43">
        <f t="shared" si="13"/>
        <v>2213.8185079584005</v>
      </c>
      <c r="N38" s="43">
        <f t="shared" si="13"/>
        <v>2213.8185079584005</v>
      </c>
      <c r="O38" s="43">
        <f t="shared" si="13"/>
        <v>2213.8185079584005</v>
      </c>
      <c r="P38" s="25">
        <f t="shared" si="12"/>
        <v>28779.622219468802</v>
      </c>
      <c r="Q38" s="25"/>
      <c r="R38" s="25"/>
    </row>
    <row r="39" spans="1:18" x14ac:dyDescent="0.3">
      <c r="A39" s="26"/>
      <c r="B39" s="27" t="s">
        <v>27</v>
      </c>
      <c r="C39" s="25"/>
      <c r="D39" s="43">
        <f>D35*0.0112</f>
        <v>205.90069248000003</v>
      </c>
      <c r="E39" s="43">
        <f t="shared" ref="E39:O39" si="14">E35*0.0112</f>
        <v>205.90069248000003</v>
      </c>
      <c r="F39" s="43">
        <f t="shared" si="14"/>
        <v>308.85103872000002</v>
      </c>
      <c r="G39" s="43">
        <f t="shared" si="14"/>
        <v>205.90069248000003</v>
      </c>
      <c r="H39" s="43">
        <f t="shared" si="14"/>
        <v>205.90069248000003</v>
      </c>
      <c r="I39" s="43">
        <f t="shared" si="14"/>
        <v>205.90069248000003</v>
      </c>
      <c r="J39" s="43">
        <f t="shared" si="14"/>
        <v>205.90069248000003</v>
      </c>
      <c r="K39" s="43">
        <f t="shared" si="14"/>
        <v>308.85103872000002</v>
      </c>
      <c r="L39" s="43">
        <f t="shared" si="14"/>
        <v>205.90069248000003</v>
      </c>
      <c r="M39" s="43">
        <f t="shared" si="14"/>
        <v>205.90069248000003</v>
      </c>
      <c r="N39" s="43">
        <f t="shared" si="14"/>
        <v>205.90069248000003</v>
      </c>
      <c r="O39" s="43">
        <f t="shared" si="14"/>
        <v>205.90069248000003</v>
      </c>
      <c r="P39" s="25">
        <f t="shared" si="12"/>
        <v>2676.7090022400007</v>
      </c>
      <c r="Q39" s="65">
        <f>P39/P35</f>
        <v>1.12E-2</v>
      </c>
      <c r="R39" s="25"/>
    </row>
    <row r="40" spans="1:18" x14ac:dyDescent="0.3">
      <c r="A40" s="26"/>
      <c r="B40" s="27" t="s">
        <v>28</v>
      </c>
      <c r="C40" s="25"/>
      <c r="D40" s="43">
        <f>D35*0.028</f>
        <v>514.75173120000011</v>
      </c>
      <c r="E40" s="43">
        <f t="shared" ref="E40:O40" si="15">E35*0.028</f>
        <v>514.75173120000011</v>
      </c>
      <c r="F40" s="43">
        <f t="shared" si="15"/>
        <v>772.12759679999999</v>
      </c>
      <c r="G40" s="43">
        <f t="shared" si="15"/>
        <v>514.75173120000011</v>
      </c>
      <c r="H40" s="43">
        <f t="shared" si="15"/>
        <v>514.75173120000011</v>
      </c>
      <c r="I40" s="43">
        <f t="shared" si="15"/>
        <v>514.75173120000011</v>
      </c>
      <c r="J40" s="43">
        <f t="shared" si="15"/>
        <v>514.75173120000011</v>
      </c>
      <c r="K40" s="43">
        <f t="shared" si="15"/>
        <v>772.12759679999999</v>
      </c>
      <c r="L40" s="43">
        <f t="shared" si="15"/>
        <v>514.75173120000011</v>
      </c>
      <c r="M40" s="43">
        <f t="shared" si="15"/>
        <v>514.75173120000011</v>
      </c>
      <c r="N40" s="43">
        <f t="shared" si="15"/>
        <v>514.75173120000011</v>
      </c>
      <c r="O40" s="43">
        <f t="shared" si="15"/>
        <v>514.75173120000011</v>
      </c>
      <c r="P40" s="25">
        <f t="shared" si="12"/>
        <v>6691.7725055999999</v>
      </c>
      <c r="Q40" s="25"/>
      <c r="R40" s="25"/>
    </row>
    <row r="41" spans="1:18" x14ac:dyDescent="0.3">
      <c r="A41" s="26"/>
      <c r="B41" s="27" t="s">
        <v>29</v>
      </c>
      <c r="C41" s="25"/>
      <c r="D41" s="43">
        <f>D35*0.01373</f>
        <v>252.41218819200003</v>
      </c>
      <c r="E41" s="43">
        <f t="shared" ref="E41:O41" si="16">E35*0.01373</f>
        <v>252.41218819200003</v>
      </c>
      <c r="F41" s="43">
        <f t="shared" si="16"/>
        <v>378.61828228799999</v>
      </c>
      <c r="G41" s="43">
        <f t="shared" si="16"/>
        <v>252.41218819200003</v>
      </c>
      <c r="H41" s="43">
        <f t="shared" si="16"/>
        <v>252.41218819200003</v>
      </c>
      <c r="I41" s="43">
        <f t="shared" si="16"/>
        <v>252.41218819200003</v>
      </c>
      <c r="J41" s="43">
        <f t="shared" si="16"/>
        <v>252.41218819200003</v>
      </c>
      <c r="K41" s="43">
        <f t="shared" si="16"/>
        <v>378.61828228799999</v>
      </c>
      <c r="L41" s="43">
        <f t="shared" si="16"/>
        <v>252.41218819200003</v>
      </c>
      <c r="M41" s="43">
        <f t="shared" si="16"/>
        <v>252.41218819200003</v>
      </c>
      <c r="N41" s="43">
        <f t="shared" si="16"/>
        <v>252.41218819200003</v>
      </c>
      <c r="O41" s="43">
        <f t="shared" si="16"/>
        <v>252.41218819200003</v>
      </c>
      <c r="P41" s="25">
        <f t="shared" si="12"/>
        <v>3281.3584464960004</v>
      </c>
      <c r="Q41" s="25"/>
      <c r="R41" s="25"/>
    </row>
    <row r="42" spans="1:18" x14ac:dyDescent="0.3">
      <c r="A42" s="26"/>
      <c r="B42" s="27" t="s">
        <v>30</v>
      </c>
      <c r="C42" s="25"/>
      <c r="D42" s="43"/>
      <c r="E42" s="43"/>
      <c r="F42" s="43"/>
      <c r="G42" s="43"/>
      <c r="H42" s="43"/>
      <c r="I42" s="43"/>
      <c r="J42" s="25"/>
      <c r="K42" s="25"/>
      <c r="L42" s="25"/>
      <c r="M42" s="25"/>
      <c r="N42" s="25"/>
      <c r="O42" s="25"/>
      <c r="P42" s="25">
        <f t="shared" si="12"/>
        <v>0</v>
      </c>
      <c r="Q42" s="25"/>
      <c r="R42" s="25"/>
    </row>
    <row r="43" spans="1:18" x14ac:dyDescent="0.3">
      <c r="A43" s="194" t="s">
        <v>31</v>
      </c>
      <c r="B43" s="194"/>
      <c r="C43" s="25"/>
      <c r="D43" s="28">
        <f t="shared" ref="D43:I43" si="17">SUM(D35:D42)</f>
        <v>22922.078430240006</v>
      </c>
      <c r="E43" s="28">
        <f t="shared" si="17"/>
        <v>22922.096814230405</v>
      </c>
      <c r="F43" s="28">
        <f t="shared" si="17"/>
        <v>34383.145221345592</v>
      </c>
      <c r="G43" s="28">
        <f t="shared" si="17"/>
        <v>22922.096814230405</v>
      </c>
      <c r="H43" s="28">
        <f t="shared" si="17"/>
        <v>22922.096814230405</v>
      </c>
      <c r="I43" s="28">
        <f t="shared" si="17"/>
        <v>22922.096814230405</v>
      </c>
      <c r="J43" s="28">
        <f t="shared" ref="J43:P43" si="18">SUM(J35:J42)</f>
        <v>22922.096814230405</v>
      </c>
      <c r="K43" s="28">
        <f t="shared" si="18"/>
        <v>34383.145221345592</v>
      </c>
      <c r="L43" s="28">
        <f t="shared" si="18"/>
        <v>22922.096814230405</v>
      </c>
      <c r="M43" s="28">
        <f t="shared" si="18"/>
        <v>22922.096814230405</v>
      </c>
      <c r="N43" s="28">
        <f t="shared" si="18"/>
        <v>22922.096814230405</v>
      </c>
      <c r="O43" s="28">
        <f t="shared" si="18"/>
        <v>22922.096814230405</v>
      </c>
      <c r="P43" s="28">
        <f t="shared" si="18"/>
        <v>297987.2402010049</v>
      </c>
      <c r="Q43" s="29">
        <f>SUM(P35:P42)</f>
        <v>297987.2402010049</v>
      </c>
      <c r="R43" s="25"/>
    </row>
    <row r="44" spans="1:18" x14ac:dyDescent="0.3">
      <c r="A44" s="194" t="s">
        <v>32</v>
      </c>
      <c r="B44" s="194"/>
      <c r="C44" s="25"/>
      <c r="D44" s="43"/>
      <c r="E44" s="43"/>
      <c r="F44" s="43"/>
      <c r="G44" s="43"/>
      <c r="H44" s="43"/>
      <c r="I44" s="43"/>
      <c r="J44" s="25"/>
      <c r="K44" s="25"/>
      <c r="L44" s="25"/>
      <c r="M44" s="25"/>
      <c r="N44" s="25"/>
      <c r="O44" s="25"/>
      <c r="P44" s="25"/>
      <c r="Q44" s="25"/>
      <c r="R44" s="25"/>
    </row>
    <row r="45" spans="1:18" x14ac:dyDescent="0.3">
      <c r="A45" s="26"/>
      <c r="B45" s="27" t="s">
        <v>33</v>
      </c>
      <c r="C45" s="25"/>
      <c r="D45" s="43">
        <v>1200</v>
      </c>
      <c r="E45" s="43">
        <v>1200</v>
      </c>
      <c r="F45" s="43">
        <v>1200</v>
      </c>
      <c r="G45" s="43">
        <v>1200</v>
      </c>
      <c r="H45" s="43">
        <v>1200</v>
      </c>
      <c r="I45" s="43">
        <v>1200</v>
      </c>
      <c r="J45" s="43">
        <v>1200</v>
      </c>
      <c r="K45" s="43">
        <v>1200</v>
      </c>
      <c r="L45" s="43">
        <v>1200</v>
      </c>
      <c r="M45" s="43">
        <v>1200</v>
      </c>
      <c r="N45" s="43">
        <v>1200</v>
      </c>
      <c r="O45" s="43">
        <v>1200</v>
      </c>
      <c r="P45" s="25">
        <f>SUM(D45:O45)</f>
        <v>14400</v>
      </c>
      <c r="Q45" s="25"/>
      <c r="R45" s="25"/>
    </row>
    <row r="46" spans="1:18" x14ac:dyDescent="0.3">
      <c r="A46" s="26"/>
      <c r="B46" s="27" t="s">
        <v>34</v>
      </c>
      <c r="C46" s="25"/>
      <c r="D46" s="43">
        <v>275</v>
      </c>
      <c r="E46" s="43">
        <v>275</v>
      </c>
      <c r="F46" s="43">
        <v>275</v>
      </c>
      <c r="G46" s="43">
        <v>275</v>
      </c>
      <c r="H46" s="43">
        <v>275</v>
      </c>
      <c r="I46" s="43">
        <v>275</v>
      </c>
      <c r="J46" s="43">
        <v>275</v>
      </c>
      <c r="K46" s="43">
        <v>275</v>
      </c>
      <c r="L46" s="43">
        <v>275</v>
      </c>
      <c r="M46" s="43">
        <v>275</v>
      </c>
      <c r="N46" s="43">
        <v>275</v>
      </c>
      <c r="O46" s="43">
        <v>275</v>
      </c>
      <c r="P46" s="43">
        <f t="shared" ref="P46:P52" si="19">SUM(D46:O46)</f>
        <v>3300</v>
      </c>
      <c r="Q46" s="25"/>
      <c r="R46" s="25"/>
    </row>
    <row r="47" spans="1:18" x14ac:dyDescent="0.3">
      <c r="A47" s="26"/>
      <c r="B47" s="27" t="s">
        <v>35</v>
      </c>
      <c r="C47" s="25"/>
      <c r="D47" s="43">
        <v>100</v>
      </c>
      <c r="E47" s="43">
        <v>100</v>
      </c>
      <c r="F47" s="43">
        <v>100</v>
      </c>
      <c r="G47" s="43">
        <v>100</v>
      </c>
      <c r="H47" s="43">
        <v>100</v>
      </c>
      <c r="I47" s="43">
        <v>100</v>
      </c>
      <c r="J47" s="43">
        <v>100</v>
      </c>
      <c r="K47" s="43">
        <v>100</v>
      </c>
      <c r="L47" s="43">
        <v>100</v>
      </c>
      <c r="M47" s="43">
        <v>100</v>
      </c>
      <c r="N47" s="43">
        <v>100</v>
      </c>
      <c r="O47" s="43">
        <v>100</v>
      </c>
      <c r="P47" s="43">
        <f t="shared" si="19"/>
        <v>1200</v>
      </c>
      <c r="Q47" s="25"/>
      <c r="R47" s="25"/>
    </row>
    <row r="48" spans="1:18" x14ac:dyDescent="0.3">
      <c r="A48" s="26"/>
      <c r="B48" s="27" t="s">
        <v>36</v>
      </c>
      <c r="C48" s="25"/>
      <c r="D48" s="43">
        <v>50</v>
      </c>
      <c r="E48" s="43">
        <v>50</v>
      </c>
      <c r="F48" s="43">
        <v>50</v>
      </c>
      <c r="G48" s="43">
        <v>50</v>
      </c>
      <c r="H48" s="43">
        <v>50</v>
      </c>
      <c r="I48" s="43">
        <v>50</v>
      </c>
      <c r="J48" s="43">
        <v>50</v>
      </c>
      <c r="K48" s="43">
        <v>50</v>
      </c>
      <c r="L48" s="43">
        <v>50</v>
      </c>
      <c r="M48" s="43">
        <v>50</v>
      </c>
      <c r="N48" s="43">
        <v>50</v>
      </c>
      <c r="O48" s="43">
        <v>50</v>
      </c>
      <c r="P48" s="43">
        <f t="shared" si="19"/>
        <v>600</v>
      </c>
      <c r="Q48" s="25"/>
      <c r="R48" s="25"/>
    </row>
    <row r="49" spans="1:18" x14ac:dyDescent="0.3">
      <c r="A49" s="26"/>
      <c r="B49" s="27" t="s">
        <v>37</v>
      </c>
      <c r="C49" s="25"/>
      <c r="D49" s="43">
        <v>30</v>
      </c>
      <c r="E49" s="43">
        <v>30</v>
      </c>
      <c r="F49" s="43">
        <v>30</v>
      </c>
      <c r="G49" s="43">
        <v>30</v>
      </c>
      <c r="H49" s="43">
        <v>30</v>
      </c>
      <c r="I49" s="43">
        <v>30</v>
      </c>
      <c r="J49" s="43">
        <v>30</v>
      </c>
      <c r="K49" s="43">
        <v>30</v>
      </c>
      <c r="L49" s="43">
        <v>30</v>
      </c>
      <c r="M49" s="43">
        <v>30</v>
      </c>
      <c r="N49" s="43">
        <v>30</v>
      </c>
      <c r="O49" s="43">
        <v>30</v>
      </c>
      <c r="P49" s="43">
        <f t="shared" si="19"/>
        <v>360</v>
      </c>
      <c r="Q49" s="25"/>
      <c r="R49" s="25"/>
    </row>
    <row r="50" spans="1:18" s="42" customFormat="1" x14ac:dyDescent="0.3">
      <c r="A50" s="26"/>
      <c r="B50" s="92" t="s">
        <v>194</v>
      </c>
      <c r="C50" s="43"/>
      <c r="D50" s="43">
        <v>125</v>
      </c>
      <c r="E50" s="43">
        <v>125</v>
      </c>
      <c r="F50" s="43">
        <v>125</v>
      </c>
      <c r="G50" s="43">
        <v>125</v>
      </c>
      <c r="H50" s="43">
        <v>125</v>
      </c>
      <c r="I50" s="43">
        <v>125</v>
      </c>
      <c r="J50" s="43">
        <v>125</v>
      </c>
      <c r="K50" s="43">
        <v>125</v>
      </c>
      <c r="L50" s="43">
        <v>125</v>
      </c>
      <c r="M50" s="43">
        <v>125</v>
      </c>
      <c r="N50" s="43">
        <v>125</v>
      </c>
      <c r="O50" s="43">
        <v>125</v>
      </c>
      <c r="P50" s="43">
        <f t="shared" si="19"/>
        <v>1500</v>
      </c>
      <c r="Q50" s="43"/>
      <c r="R50" s="43"/>
    </row>
    <row r="51" spans="1:18" x14ac:dyDescent="0.3">
      <c r="A51" s="26"/>
      <c r="B51" s="27" t="s">
        <v>38</v>
      </c>
      <c r="C51" s="25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>
        <f t="shared" si="19"/>
        <v>0</v>
      </c>
      <c r="Q51" s="25"/>
      <c r="R51" s="25"/>
    </row>
    <row r="52" spans="1:18" x14ac:dyDescent="0.3">
      <c r="A52" s="26"/>
      <c r="B52" s="27" t="s">
        <v>39</v>
      </c>
      <c r="C52" s="25"/>
      <c r="D52" s="43">
        <v>100</v>
      </c>
      <c r="E52" s="43">
        <v>100</v>
      </c>
      <c r="F52" s="43">
        <v>100</v>
      </c>
      <c r="G52" s="43">
        <v>100</v>
      </c>
      <c r="H52" s="43">
        <v>100</v>
      </c>
      <c r="I52" s="43">
        <v>100</v>
      </c>
      <c r="J52" s="43">
        <v>100</v>
      </c>
      <c r="K52" s="43">
        <v>100</v>
      </c>
      <c r="L52" s="43">
        <v>100</v>
      </c>
      <c r="M52" s="43">
        <v>100</v>
      </c>
      <c r="N52" s="43">
        <v>100</v>
      </c>
      <c r="O52" s="43">
        <v>100</v>
      </c>
      <c r="P52" s="43">
        <f t="shared" si="19"/>
        <v>1200</v>
      </c>
      <c r="Q52" s="43">
        <f>SUM(E52:P52)</f>
        <v>2300</v>
      </c>
      <c r="R52" s="25"/>
    </row>
    <row r="53" spans="1:18" x14ac:dyDescent="0.3">
      <c r="A53" s="194" t="s">
        <v>40</v>
      </c>
      <c r="B53" s="194"/>
      <c r="C53" s="25"/>
      <c r="D53" s="28">
        <f t="shared" ref="D53:I53" si="20">SUM(D45:D52)</f>
        <v>1880</v>
      </c>
      <c r="E53" s="28">
        <f t="shared" si="20"/>
        <v>1880</v>
      </c>
      <c r="F53" s="28">
        <f t="shared" si="20"/>
        <v>1880</v>
      </c>
      <c r="G53" s="28">
        <f t="shared" si="20"/>
        <v>1880</v>
      </c>
      <c r="H53" s="28">
        <f t="shared" si="20"/>
        <v>1880</v>
      </c>
      <c r="I53" s="28">
        <f t="shared" si="20"/>
        <v>1880</v>
      </c>
      <c r="J53" s="28">
        <f t="shared" ref="J53:P53" si="21">SUM(J45:J52)</f>
        <v>1880</v>
      </c>
      <c r="K53" s="28">
        <f t="shared" si="21"/>
        <v>1880</v>
      </c>
      <c r="L53" s="28">
        <f t="shared" si="21"/>
        <v>1880</v>
      </c>
      <c r="M53" s="28">
        <f t="shared" si="21"/>
        <v>1880</v>
      </c>
      <c r="N53" s="28">
        <f t="shared" si="21"/>
        <v>1880</v>
      </c>
      <c r="O53" s="28">
        <f t="shared" si="21"/>
        <v>1880</v>
      </c>
      <c r="P53" s="28">
        <f t="shared" si="21"/>
        <v>22560</v>
      </c>
      <c r="Q53" s="29">
        <f>SUM(P52)-P53</f>
        <v>-21360</v>
      </c>
      <c r="R53" s="25"/>
    </row>
    <row r="54" spans="1:18" x14ac:dyDescent="0.3">
      <c r="A54" s="194" t="s">
        <v>41</v>
      </c>
      <c r="B54" s="194"/>
      <c r="C54" s="25"/>
      <c r="D54" s="43"/>
      <c r="E54" s="43"/>
      <c r="F54" s="43"/>
      <c r="G54" s="43"/>
      <c r="H54" s="43"/>
      <c r="I54" s="43"/>
      <c r="J54" s="25"/>
      <c r="K54" s="25"/>
      <c r="L54" s="25"/>
      <c r="M54" s="25"/>
      <c r="N54" s="25"/>
      <c r="O54" s="25"/>
      <c r="P54" s="25"/>
      <c r="Q54" s="25"/>
      <c r="R54" s="25"/>
    </row>
    <row r="55" spans="1:18" x14ac:dyDescent="0.3">
      <c r="A55" s="26"/>
      <c r="B55" s="27" t="s">
        <v>42</v>
      </c>
      <c r="C55" s="25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25">
        <f t="shared" ref="P55:P83" si="22">SUM(D55:O55)</f>
        <v>0</v>
      </c>
      <c r="Q55" s="25"/>
      <c r="R55" s="25"/>
    </row>
    <row r="56" spans="1:18" x14ac:dyDescent="0.3">
      <c r="A56" s="26"/>
      <c r="B56" s="27" t="s">
        <v>43</v>
      </c>
      <c r="C56" s="25"/>
      <c r="D56" s="43"/>
      <c r="E56" s="43"/>
      <c r="F56" s="43"/>
      <c r="G56" s="43"/>
      <c r="H56" s="43"/>
      <c r="I56" s="43">
        <v>250</v>
      </c>
      <c r="J56" s="43"/>
      <c r="K56" s="43"/>
      <c r="L56" s="43"/>
      <c r="M56" s="43"/>
      <c r="N56" s="43"/>
      <c r="O56" s="43"/>
      <c r="P56" s="25">
        <f t="shared" si="22"/>
        <v>250</v>
      </c>
      <c r="Q56" s="25"/>
      <c r="R56" s="25"/>
    </row>
    <row r="57" spans="1:18" x14ac:dyDescent="0.3">
      <c r="A57" s="26"/>
      <c r="B57" s="27" t="s">
        <v>44</v>
      </c>
      <c r="C57" s="25"/>
      <c r="D57" s="43">
        <v>50</v>
      </c>
      <c r="E57" s="43">
        <v>50</v>
      </c>
      <c r="F57" s="43">
        <v>50</v>
      </c>
      <c r="G57" s="43">
        <v>50</v>
      </c>
      <c r="H57" s="43">
        <v>50</v>
      </c>
      <c r="I57" s="43">
        <v>50</v>
      </c>
      <c r="J57" s="43">
        <v>50</v>
      </c>
      <c r="K57" s="43">
        <v>50</v>
      </c>
      <c r="L57" s="43">
        <v>50</v>
      </c>
      <c r="M57" s="43">
        <v>50</v>
      </c>
      <c r="N57" s="43">
        <v>50</v>
      </c>
      <c r="O57" s="43">
        <v>50</v>
      </c>
      <c r="P57" s="25">
        <f t="shared" si="22"/>
        <v>600</v>
      </c>
      <c r="Q57" s="25"/>
      <c r="R57" s="25"/>
    </row>
    <row r="58" spans="1:18" x14ac:dyDescent="0.3">
      <c r="A58" s="26"/>
      <c r="B58" s="27" t="s">
        <v>45</v>
      </c>
      <c r="C58" s="25"/>
      <c r="D58" s="43">
        <v>25</v>
      </c>
      <c r="E58" s="43">
        <v>25</v>
      </c>
      <c r="F58" s="43">
        <v>25</v>
      </c>
      <c r="G58" s="43">
        <v>25</v>
      </c>
      <c r="H58" s="43">
        <v>25</v>
      </c>
      <c r="I58" s="43">
        <v>25</v>
      </c>
      <c r="J58" s="43">
        <v>25</v>
      </c>
      <c r="K58" s="43">
        <v>25</v>
      </c>
      <c r="L58" s="43">
        <v>25</v>
      </c>
      <c r="M58" s="43">
        <v>25</v>
      </c>
      <c r="N58" s="43">
        <v>25</v>
      </c>
      <c r="O58" s="43">
        <v>25</v>
      </c>
      <c r="P58" s="25">
        <f t="shared" si="22"/>
        <v>300</v>
      </c>
      <c r="Q58" s="25"/>
      <c r="R58" s="25"/>
    </row>
    <row r="59" spans="1:18" x14ac:dyDescent="0.3">
      <c r="A59" s="26"/>
      <c r="B59" s="27" t="s">
        <v>46</v>
      </c>
      <c r="C59" s="25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25">
        <f t="shared" si="22"/>
        <v>0</v>
      </c>
      <c r="Q59" s="25"/>
      <c r="R59" s="25"/>
    </row>
    <row r="60" spans="1:18" x14ac:dyDescent="0.3">
      <c r="A60" s="26"/>
      <c r="B60" s="27" t="s">
        <v>47</v>
      </c>
      <c r="C60" s="25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25">
        <f t="shared" si="22"/>
        <v>0</v>
      </c>
      <c r="Q60" s="25"/>
      <c r="R60" s="25"/>
    </row>
    <row r="61" spans="1:18" x14ac:dyDescent="0.3">
      <c r="A61" s="26"/>
      <c r="B61" s="27" t="s">
        <v>48</v>
      </c>
      <c r="C61" s="2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25">
        <f t="shared" si="22"/>
        <v>0</v>
      </c>
      <c r="Q61" s="25"/>
      <c r="R61" s="25"/>
    </row>
    <row r="62" spans="1:18" x14ac:dyDescent="0.3">
      <c r="A62" s="26"/>
      <c r="B62" s="27" t="s">
        <v>49</v>
      </c>
      <c r="C62" s="25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25">
        <f t="shared" si="22"/>
        <v>0</v>
      </c>
      <c r="Q62" s="25"/>
      <c r="R62" s="25"/>
    </row>
    <row r="63" spans="1:18" x14ac:dyDescent="0.3">
      <c r="A63" s="26"/>
      <c r="B63" s="27" t="s">
        <v>50</v>
      </c>
      <c r="C63" s="25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25">
        <f t="shared" si="22"/>
        <v>0</v>
      </c>
      <c r="Q63" s="25"/>
      <c r="R63" s="25"/>
    </row>
    <row r="64" spans="1:18" x14ac:dyDescent="0.3">
      <c r="A64" s="26"/>
      <c r="B64" s="27" t="s">
        <v>51</v>
      </c>
      <c r="C64" s="25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25">
        <f t="shared" si="22"/>
        <v>0</v>
      </c>
      <c r="Q64" s="25"/>
      <c r="R64" s="25"/>
    </row>
    <row r="65" spans="1:18" x14ac:dyDescent="0.3">
      <c r="A65" s="26"/>
      <c r="B65" s="27" t="s">
        <v>52</v>
      </c>
      <c r="C65" s="25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5">
        <f t="shared" si="22"/>
        <v>0</v>
      </c>
      <c r="Q65" s="25"/>
      <c r="R65" s="25"/>
    </row>
    <row r="66" spans="1:18" x14ac:dyDescent="0.3">
      <c r="A66" s="26"/>
      <c r="B66" s="27" t="s">
        <v>53</v>
      </c>
      <c r="C66" s="25"/>
      <c r="D66" s="43">
        <v>25</v>
      </c>
      <c r="E66" s="43">
        <v>25</v>
      </c>
      <c r="F66" s="43">
        <v>25</v>
      </c>
      <c r="G66" s="43">
        <v>25</v>
      </c>
      <c r="H66" s="43">
        <v>25</v>
      </c>
      <c r="I66" s="43">
        <v>25</v>
      </c>
      <c r="J66" s="43">
        <v>25</v>
      </c>
      <c r="K66" s="43">
        <v>25</v>
      </c>
      <c r="L66" s="43">
        <v>25</v>
      </c>
      <c r="M66" s="43">
        <v>25</v>
      </c>
      <c r="N66" s="43">
        <v>25</v>
      </c>
      <c r="O66" s="43">
        <v>25</v>
      </c>
      <c r="P66" s="25">
        <f t="shared" si="22"/>
        <v>300</v>
      </c>
      <c r="Q66" s="25"/>
      <c r="R66" s="25"/>
    </row>
    <row r="67" spans="1:18" x14ac:dyDescent="0.3">
      <c r="A67" s="26"/>
      <c r="B67" s="27" t="s">
        <v>54</v>
      </c>
      <c r="C67" s="25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25">
        <f t="shared" si="22"/>
        <v>0</v>
      </c>
      <c r="Q67" s="25"/>
      <c r="R67" s="25"/>
    </row>
    <row r="68" spans="1:18" x14ac:dyDescent="0.3">
      <c r="A68" s="26"/>
      <c r="B68" s="27" t="s">
        <v>55</v>
      </c>
      <c r="C68" s="25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25">
        <f t="shared" si="22"/>
        <v>0</v>
      </c>
      <c r="Q68" s="25"/>
      <c r="R68" s="25"/>
    </row>
    <row r="69" spans="1:18" x14ac:dyDescent="0.3">
      <c r="A69" s="26"/>
      <c r="B69" s="27" t="s">
        <v>56</v>
      </c>
      <c r="C69" s="25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25">
        <f t="shared" si="22"/>
        <v>0</v>
      </c>
      <c r="Q69" s="25"/>
      <c r="R69" s="25"/>
    </row>
    <row r="70" spans="1:18" x14ac:dyDescent="0.3">
      <c r="A70" s="26"/>
      <c r="B70" s="27" t="s">
        <v>57</v>
      </c>
      <c r="C70" s="25"/>
      <c r="D70" s="43">
        <v>46</v>
      </c>
      <c r="E70" s="43">
        <v>46</v>
      </c>
      <c r="F70" s="43">
        <v>46</v>
      </c>
      <c r="G70" s="43">
        <v>46</v>
      </c>
      <c r="H70" s="43">
        <v>46</v>
      </c>
      <c r="I70" s="43">
        <v>46</v>
      </c>
      <c r="J70" s="43">
        <v>46</v>
      </c>
      <c r="K70" s="43">
        <v>46</v>
      </c>
      <c r="L70" s="43">
        <v>46</v>
      </c>
      <c r="M70" s="43">
        <v>46</v>
      </c>
      <c r="N70" s="43">
        <v>46</v>
      </c>
      <c r="O70" s="43">
        <v>46</v>
      </c>
      <c r="P70" s="25">
        <f t="shared" si="22"/>
        <v>552</v>
      </c>
      <c r="Q70" s="25"/>
      <c r="R70" s="25"/>
    </row>
    <row r="71" spans="1:18" x14ac:dyDescent="0.3">
      <c r="A71" s="26"/>
      <c r="B71" s="27" t="s">
        <v>58</v>
      </c>
      <c r="C71" s="2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25">
        <f t="shared" si="22"/>
        <v>0</v>
      </c>
      <c r="Q71" s="25"/>
      <c r="R71" s="25"/>
    </row>
    <row r="72" spans="1:18" x14ac:dyDescent="0.3">
      <c r="A72" s="26"/>
      <c r="B72" s="27" t="s">
        <v>59</v>
      </c>
      <c r="C72" s="25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25">
        <f t="shared" si="22"/>
        <v>0</v>
      </c>
      <c r="Q72" s="25"/>
      <c r="R72" s="25"/>
    </row>
    <row r="73" spans="1:18" x14ac:dyDescent="0.3">
      <c r="A73" s="26"/>
      <c r="B73" s="27" t="s">
        <v>60</v>
      </c>
      <c r="C73" s="2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25">
        <f t="shared" si="22"/>
        <v>0</v>
      </c>
      <c r="Q73" s="25"/>
      <c r="R73" s="25"/>
    </row>
    <row r="74" spans="1:18" x14ac:dyDescent="0.3">
      <c r="A74" s="26"/>
      <c r="B74" s="27" t="s">
        <v>61</v>
      </c>
      <c r="C74" s="25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25">
        <f t="shared" si="22"/>
        <v>0</v>
      </c>
      <c r="Q74" s="25"/>
      <c r="R74" s="25"/>
    </row>
    <row r="75" spans="1:18" x14ac:dyDescent="0.3">
      <c r="A75" s="26"/>
      <c r="B75" s="27" t="s">
        <v>62</v>
      </c>
      <c r="C75" s="25"/>
      <c r="D75" s="43"/>
      <c r="E75" s="43"/>
      <c r="F75" s="43"/>
      <c r="G75" s="43"/>
      <c r="H75" s="43"/>
      <c r="I75" s="43"/>
      <c r="J75" s="43"/>
      <c r="K75" s="43"/>
      <c r="L75" s="43">
        <v>875</v>
      </c>
      <c r="M75" s="43">
        <v>500</v>
      </c>
      <c r="N75" s="43"/>
      <c r="O75" s="43"/>
      <c r="P75" s="43">
        <f t="shared" si="22"/>
        <v>1375</v>
      </c>
      <c r="Q75" s="25"/>
      <c r="R75" s="25"/>
    </row>
    <row r="76" spans="1:18" x14ac:dyDescent="0.3">
      <c r="A76" s="26"/>
      <c r="B76" s="27" t="s">
        <v>63</v>
      </c>
      <c r="C76" s="25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25">
        <f t="shared" si="22"/>
        <v>0</v>
      </c>
      <c r="Q76" s="25"/>
      <c r="R76" s="25"/>
    </row>
    <row r="77" spans="1:18" x14ac:dyDescent="0.3">
      <c r="A77" s="27" t="s">
        <v>17</v>
      </c>
      <c r="B77" s="27" t="s">
        <v>64</v>
      </c>
      <c r="C77" s="25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25">
        <f t="shared" si="22"/>
        <v>0</v>
      </c>
      <c r="Q77" s="25"/>
      <c r="R77" s="25"/>
    </row>
    <row r="78" spans="1:18" x14ac:dyDescent="0.3">
      <c r="A78" s="26"/>
      <c r="B78" s="27" t="s">
        <v>65</v>
      </c>
      <c r="C78" s="25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25">
        <f t="shared" si="22"/>
        <v>0</v>
      </c>
      <c r="Q78" s="25"/>
      <c r="R78" s="25"/>
    </row>
    <row r="79" spans="1:18" x14ac:dyDescent="0.3">
      <c r="A79" s="26"/>
      <c r="B79" s="26"/>
      <c r="C79" s="25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25">
        <f t="shared" si="22"/>
        <v>0</v>
      </c>
      <c r="Q79" s="25"/>
      <c r="R79" s="25"/>
    </row>
    <row r="80" spans="1:18" x14ac:dyDescent="0.3">
      <c r="A80" s="26"/>
      <c r="B80" s="27"/>
      <c r="C80" s="25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25">
        <f t="shared" si="22"/>
        <v>0</v>
      </c>
      <c r="Q80" s="25"/>
      <c r="R80" s="25"/>
    </row>
    <row r="81" spans="1:18" x14ac:dyDescent="0.3">
      <c r="A81" s="26"/>
      <c r="B81" s="27"/>
      <c r="C81" s="25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25">
        <f t="shared" si="22"/>
        <v>0</v>
      </c>
      <c r="Q81" s="25"/>
      <c r="R81" s="25"/>
    </row>
    <row r="82" spans="1:18" x14ac:dyDescent="0.3">
      <c r="A82" s="26"/>
      <c r="B82" s="27"/>
      <c r="C82" s="25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25">
        <f t="shared" si="22"/>
        <v>0</v>
      </c>
      <c r="Q82" s="25"/>
      <c r="R82" s="25"/>
    </row>
    <row r="83" spans="1:18" x14ac:dyDescent="0.3">
      <c r="A83" s="26"/>
      <c r="B83" s="27"/>
      <c r="C83" s="25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25">
        <f t="shared" si="22"/>
        <v>0</v>
      </c>
      <c r="Q83" s="25"/>
      <c r="R83" s="25"/>
    </row>
    <row r="84" spans="1:18" x14ac:dyDescent="0.3">
      <c r="A84" s="194" t="s">
        <v>66</v>
      </c>
      <c r="B84" s="194"/>
      <c r="C84" s="25"/>
      <c r="D84" s="28">
        <f t="shared" ref="D84:I84" si="23">SUM(D56:D83)</f>
        <v>146</v>
      </c>
      <c r="E84" s="28">
        <f t="shared" si="23"/>
        <v>146</v>
      </c>
      <c r="F84" s="28">
        <f t="shared" si="23"/>
        <v>146</v>
      </c>
      <c r="G84" s="28">
        <f t="shared" si="23"/>
        <v>146</v>
      </c>
      <c r="H84" s="28">
        <f t="shared" si="23"/>
        <v>146</v>
      </c>
      <c r="I84" s="28">
        <f t="shared" si="23"/>
        <v>396</v>
      </c>
      <c r="J84" s="28">
        <f t="shared" ref="J84:P84" si="24">SUM(J56:J83)</f>
        <v>146</v>
      </c>
      <c r="K84" s="28">
        <f t="shared" si="24"/>
        <v>146</v>
      </c>
      <c r="L84" s="28">
        <f t="shared" si="24"/>
        <v>1021</v>
      </c>
      <c r="M84" s="28">
        <f t="shared" si="24"/>
        <v>646</v>
      </c>
      <c r="N84" s="28">
        <f t="shared" si="24"/>
        <v>146</v>
      </c>
      <c r="O84" s="28">
        <f t="shared" si="24"/>
        <v>146</v>
      </c>
      <c r="P84" s="28">
        <f t="shared" si="24"/>
        <v>3377</v>
      </c>
      <c r="Q84" s="29">
        <f>SUM(P55:P83)-P84</f>
        <v>0</v>
      </c>
      <c r="R84" s="25"/>
    </row>
    <row r="85" spans="1:18" x14ac:dyDescent="0.3">
      <c r="A85" s="194" t="s">
        <v>67</v>
      </c>
      <c r="B85" s="194"/>
      <c r="C85" s="25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25"/>
      <c r="Q85" s="25"/>
      <c r="R85" s="25"/>
    </row>
    <row r="86" spans="1:18" x14ac:dyDescent="0.3">
      <c r="A86" s="26"/>
      <c r="B86" s="27" t="s">
        <v>68</v>
      </c>
      <c r="C86" s="25"/>
      <c r="D86" s="43">
        <v>200</v>
      </c>
      <c r="E86" s="43">
        <v>300</v>
      </c>
      <c r="F86" s="43">
        <v>200</v>
      </c>
      <c r="G86" s="43">
        <v>200</v>
      </c>
      <c r="H86" s="43">
        <v>200</v>
      </c>
      <c r="I86" s="43">
        <v>300</v>
      </c>
      <c r="J86" s="43">
        <v>300</v>
      </c>
      <c r="K86" s="43">
        <v>350</v>
      </c>
      <c r="L86" s="43">
        <v>200</v>
      </c>
      <c r="M86" s="43">
        <v>200</v>
      </c>
      <c r="N86" s="43">
        <v>200</v>
      </c>
      <c r="O86" s="43">
        <v>250</v>
      </c>
      <c r="P86" s="25">
        <f t="shared" ref="P86:P104" si="25">SUM(D86:O86)</f>
        <v>2900</v>
      </c>
      <c r="Q86" s="25"/>
      <c r="R86" s="25"/>
    </row>
    <row r="87" spans="1:18" x14ac:dyDescent="0.3">
      <c r="A87" s="26"/>
      <c r="B87" s="27" t="s">
        <v>69</v>
      </c>
      <c r="C87" s="25"/>
      <c r="D87" s="43">
        <v>175</v>
      </c>
      <c r="E87" s="43">
        <v>175</v>
      </c>
      <c r="F87" s="43">
        <v>175</v>
      </c>
      <c r="G87" s="43">
        <v>175</v>
      </c>
      <c r="H87" s="43">
        <v>175</v>
      </c>
      <c r="I87" s="43">
        <v>175</v>
      </c>
      <c r="J87" s="43">
        <v>225</v>
      </c>
      <c r="K87" s="43">
        <v>225</v>
      </c>
      <c r="L87" s="43">
        <v>250</v>
      </c>
      <c r="M87" s="43">
        <v>250</v>
      </c>
      <c r="N87" s="43">
        <v>250</v>
      </c>
      <c r="O87" s="43">
        <v>250</v>
      </c>
      <c r="P87" s="25">
        <f t="shared" si="25"/>
        <v>2500</v>
      </c>
      <c r="Q87" s="25"/>
      <c r="R87" s="25"/>
    </row>
    <row r="88" spans="1:18" x14ac:dyDescent="0.3">
      <c r="A88" s="26"/>
      <c r="B88" s="27" t="s">
        <v>70</v>
      </c>
      <c r="C88" s="25"/>
      <c r="D88" s="43">
        <v>275</v>
      </c>
      <c r="E88" s="43">
        <v>275</v>
      </c>
      <c r="F88" s="43">
        <v>175</v>
      </c>
      <c r="G88" s="43">
        <v>150</v>
      </c>
      <c r="H88" s="43">
        <v>175</v>
      </c>
      <c r="I88" s="43">
        <v>175</v>
      </c>
      <c r="J88" s="43">
        <v>200</v>
      </c>
      <c r="K88" s="43">
        <v>200</v>
      </c>
      <c r="L88" s="43">
        <v>325</v>
      </c>
      <c r="M88" s="43">
        <v>250</v>
      </c>
      <c r="N88" s="43">
        <v>225</v>
      </c>
      <c r="O88" s="43">
        <v>275</v>
      </c>
      <c r="P88" s="25">
        <f t="shared" si="25"/>
        <v>2700</v>
      </c>
      <c r="Q88" s="25"/>
      <c r="R88" s="25"/>
    </row>
    <row r="89" spans="1:18" x14ac:dyDescent="0.3">
      <c r="A89" s="26"/>
      <c r="B89" s="27" t="s">
        <v>71</v>
      </c>
      <c r="C89" s="25"/>
      <c r="D89" s="43">
        <f>266+150</f>
        <v>416</v>
      </c>
      <c r="E89" s="43">
        <f t="shared" ref="E89:O89" si="26">266+150</f>
        <v>416</v>
      </c>
      <c r="F89" s="43">
        <f t="shared" si="26"/>
        <v>416</v>
      </c>
      <c r="G89" s="43">
        <f t="shared" si="26"/>
        <v>416</v>
      </c>
      <c r="H89" s="43">
        <f t="shared" si="26"/>
        <v>416</v>
      </c>
      <c r="I89" s="43">
        <f t="shared" si="26"/>
        <v>416</v>
      </c>
      <c r="J89" s="43">
        <f t="shared" si="26"/>
        <v>416</v>
      </c>
      <c r="K89" s="43">
        <f t="shared" si="26"/>
        <v>416</v>
      </c>
      <c r="L89" s="43">
        <f t="shared" si="26"/>
        <v>416</v>
      </c>
      <c r="M89" s="43">
        <f t="shared" si="26"/>
        <v>416</v>
      </c>
      <c r="N89" s="43">
        <f t="shared" si="26"/>
        <v>416</v>
      </c>
      <c r="O89" s="43">
        <f t="shared" si="26"/>
        <v>416</v>
      </c>
      <c r="P89" s="25">
        <f t="shared" si="25"/>
        <v>4992</v>
      </c>
      <c r="Q89" s="25"/>
      <c r="R89" s="25"/>
    </row>
    <row r="90" spans="1:18" x14ac:dyDescent="0.3">
      <c r="A90" s="26"/>
      <c r="B90" s="27" t="s">
        <v>72</v>
      </c>
      <c r="C90" s="25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25">
        <f t="shared" si="25"/>
        <v>0</v>
      </c>
      <c r="Q90" s="25"/>
      <c r="R90" s="25"/>
    </row>
    <row r="91" spans="1:18" x14ac:dyDescent="0.3">
      <c r="A91" s="26"/>
      <c r="B91" s="27" t="s">
        <v>73</v>
      </c>
      <c r="C91" s="25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25">
        <f t="shared" si="25"/>
        <v>0</v>
      </c>
      <c r="Q91" s="25"/>
      <c r="R91" s="25"/>
    </row>
    <row r="92" spans="1:18" x14ac:dyDescent="0.3">
      <c r="A92" s="26"/>
      <c r="B92" s="27" t="s">
        <v>74</v>
      </c>
      <c r="C92" s="25"/>
      <c r="D92" s="43">
        <v>50</v>
      </c>
      <c r="E92" s="43">
        <v>50</v>
      </c>
      <c r="F92" s="43">
        <v>50</v>
      </c>
      <c r="G92" s="43">
        <v>50</v>
      </c>
      <c r="H92" s="43">
        <v>50</v>
      </c>
      <c r="I92" s="43">
        <v>50</v>
      </c>
      <c r="J92" s="43">
        <v>50</v>
      </c>
      <c r="K92" s="43">
        <v>50</v>
      </c>
      <c r="L92" s="43">
        <v>50</v>
      </c>
      <c r="M92" s="43">
        <v>50</v>
      </c>
      <c r="N92" s="43">
        <v>50</v>
      </c>
      <c r="O92" s="43">
        <v>50</v>
      </c>
      <c r="P92" s="25">
        <f t="shared" si="25"/>
        <v>600</v>
      </c>
      <c r="Q92" s="25"/>
      <c r="R92" s="25"/>
    </row>
    <row r="93" spans="1:18" x14ac:dyDescent="0.3">
      <c r="A93" s="26"/>
      <c r="B93" s="27" t="s">
        <v>75</v>
      </c>
      <c r="C93" s="25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25">
        <f t="shared" si="25"/>
        <v>0</v>
      </c>
      <c r="Q93" s="25"/>
      <c r="R93" s="25"/>
    </row>
    <row r="94" spans="1:18" x14ac:dyDescent="0.3">
      <c r="A94" s="26"/>
      <c r="B94" s="27" t="s">
        <v>76</v>
      </c>
      <c r="C94" s="25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25">
        <f t="shared" si="25"/>
        <v>0</v>
      </c>
      <c r="Q94" s="25"/>
      <c r="R94" s="25"/>
    </row>
    <row r="95" spans="1:18" x14ac:dyDescent="0.3">
      <c r="A95" s="26"/>
      <c r="B95" s="27" t="s">
        <v>77</v>
      </c>
      <c r="C95" s="25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25">
        <f t="shared" si="25"/>
        <v>0</v>
      </c>
      <c r="Q95" s="25"/>
      <c r="R95" s="25"/>
    </row>
    <row r="96" spans="1:18" x14ac:dyDescent="0.3">
      <c r="A96" s="26"/>
      <c r="B96" s="27" t="s">
        <v>78</v>
      </c>
      <c r="C96" s="25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25">
        <f t="shared" si="25"/>
        <v>0</v>
      </c>
      <c r="Q96" s="25"/>
      <c r="R96" s="25"/>
    </row>
    <row r="97" spans="1:18" x14ac:dyDescent="0.3">
      <c r="A97" s="26"/>
      <c r="B97" s="27" t="s">
        <v>79</v>
      </c>
      <c r="C97" s="25"/>
      <c r="D97" s="43">
        <v>700</v>
      </c>
      <c r="E97" s="43">
        <v>700</v>
      </c>
      <c r="F97" s="43">
        <v>700</v>
      </c>
      <c r="G97" s="43">
        <v>700</v>
      </c>
      <c r="H97" s="43">
        <v>700</v>
      </c>
      <c r="I97" s="43">
        <v>700</v>
      </c>
      <c r="J97" s="43">
        <v>700</v>
      </c>
      <c r="K97" s="43">
        <v>700</v>
      </c>
      <c r="L97" s="43">
        <v>700</v>
      </c>
      <c r="M97" s="43">
        <v>700</v>
      </c>
      <c r="N97" s="43">
        <v>700</v>
      </c>
      <c r="O97" s="43">
        <v>700</v>
      </c>
      <c r="P97" s="25">
        <f t="shared" si="25"/>
        <v>8400</v>
      </c>
      <c r="Q97" s="25"/>
      <c r="R97" s="25"/>
    </row>
    <row r="98" spans="1:18" x14ac:dyDescent="0.3">
      <c r="A98" s="26"/>
      <c r="B98" s="27" t="s">
        <v>80</v>
      </c>
      <c r="C98" s="25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25">
        <f t="shared" si="25"/>
        <v>0</v>
      </c>
      <c r="Q98" s="25"/>
      <c r="R98" s="25"/>
    </row>
    <row r="99" spans="1:18" x14ac:dyDescent="0.3">
      <c r="A99" s="26"/>
      <c r="B99" s="27" t="s">
        <v>81</v>
      </c>
      <c r="C99" s="25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25">
        <f t="shared" si="25"/>
        <v>0</v>
      </c>
      <c r="Q99" s="25"/>
      <c r="R99" s="25"/>
    </row>
    <row r="100" spans="1:18" x14ac:dyDescent="0.3">
      <c r="A100" s="26"/>
      <c r="B100" s="27" t="s">
        <v>82</v>
      </c>
      <c r="C100" s="25"/>
      <c r="D100" s="43"/>
      <c r="E100" s="43"/>
      <c r="F100" s="43"/>
      <c r="G100" s="43">
        <v>600</v>
      </c>
      <c r="H100" s="43"/>
      <c r="I100" s="43"/>
      <c r="J100" s="43"/>
      <c r="K100" s="43"/>
      <c r="L100" s="43"/>
      <c r="M100" s="43"/>
      <c r="N100" s="43"/>
      <c r="O100" s="43"/>
      <c r="P100" s="25">
        <f t="shared" si="25"/>
        <v>600</v>
      </c>
      <c r="Q100" s="25"/>
      <c r="R100" s="25"/>
    </row>
    <row r="101" spans="1:18" x14ac:dyDescent="0.3">
      <c r="A101" s="26"/>
      <c r="B101" s="27" t="s">
        <v>83</v>
      </c>
      <c r="C101" s="25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25">
        <f t="shared" si="25"/>
        <v>0</v>
      </c>
      <c r="Q101" s="25"/>
      <c r="R101" s="25"/>
    </row>
    <row r="102" spans="1:18" x14ac:dyDescent="0.3">
      <c r="A102" s="26"/>
      <c r="B102" s="26"/>
      <c r="C102" s="25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25">
        <f t="shared" si="25"/>
        <v>0</v>
      </c>
      <c r="Q102" s="25"/>
      <c r="R102" s="25"/>
    </row>
    <row r="103" spans="1:18" x14ac:dyDescent="0.3">
      <c r="A103" s="26"/>
      <c r="B103" s="27"/>
      <c r="C103" s="25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25">
        <f t="shared" si="25"/>
        <v>0</v>
      </c>
      <c r="Q103" s="25"/>
      <c r="R103" s="25"/>
    </row>
    <row r="104" spans="1:18" x14ac:dyDescent="0.3">
      <c r="A104" s="26"/>
      <c r="B104" s="27"/>
      <c r="C104" s="25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25">
        <f t="shared" si="25"/>
        <v>0</v>
      </c>
      <c r="Q104" s="25"/>
      <c r="R104" s="25"/>
    </row>
    <row r="105" spans="1:18" x14ac:dyDescent="0.3">
      <c r="A105" s="194" t="s">
        <v>84</v>
      </c>
      <c r="B105" s="194"/>
      <c r="C105" s="25"/>
      <c r="D105" s="30">
        <f t="shared" ref="D105:I105" si="27">SUM(D86:D104)</f>
        <v>1816</v>
      </c>
      <c r="E105" s="30">
        <f t="shared" si="27"/>
        <v>1916</v>
      </c>
      <c r="F105" s="30">
        <f t="shared" si="27"/>
        <v>1716</v>
      </c>
      <c r="G105" s="30">
        <f t="shared" si="27"/>
        <v>2291</v>
      </c>
      <c r="H105" s="30">
        <f t="shared" si="27"/>
        <v>1716</v>
      </c>
      <c r="I105" s="30">
        <f t="shared" si="27"/>
        <v>1816</v>
      </c>
      <c r="J105" s="30">
        <f t="shared" ref="J105:P105" si="28">SUM(J86:J104)</f>
        <v>1891</v>
      </c>
      <c r="K105" s="30">
        <f t="shared" si="28"/>
        <v>1941</v>
      </c>
      <c r="L105" s="30">
        <f t="shared" si="28"/>
        <v>1941</v>
      </c>
      <c r="M105" s="30">
        <f t="shared" si="28"/>
        <v>1866</v>
      </c>
      <c r="N105" s="30">
        <f t="shared" si="28"/>
        <v>1841</v>
      </c>
      <c r="O105" s="30">
        <f t="shared" si="28"/>
        <v>1941</v>
      </c>
      <c r="P105" s="30">
        <f t="shared" si="28"/>
        <v>22692</v>
      </c>
      <c r="Q105" s="29">
        <f>SUM(P86:P104)-P105</f>
        <v>0</v>
      </c>
      <c r="R105" s="25"/>
    </row>
    <row r="106" spans="1:18" x14ac:dyDescent="0.3">
      <c r="A106" s="26"/>
      <c r="B106" s="27" t="s">
        <v>85</v>
      </c>
      <c r="C106" s="25"/>
      <c r="D106" s="30">
        <f t="shared" ref="D106:I106" si="29">D105+D84+D53+D43</f>
        <v>26764.078430240006</v>
      </c>
      <c r="E106" s="30">
        <f t="shared" si="29"/>
        <v>26864.096814230405</v>
      </c>
      <c r="F106" s="30">
        <f t="shared" si="29"/>
        <v>38125.145221345592</v>
      </c>
      <c r="G106" s="30">
        <f t="shared" si="29"/>
        <v>27239.096814230405</v>
      </c>
      <c r="H106" s="30">
        <f t="shared" si="29"/>
        <v>26664.096814230405</v>
      </c>
      <c r="I106" s="30">
        <f t="shared" si="29"/>
        <v>27014.096814230405</v>
      </c>
      <c r="J106" s="30">
        <f t="shared" ref="J106:P106" si="30">J105+J84+J53+J43</f>
        <v>26839.096814230405</v>
      </c>
      <c r="K106" s="30">
        <f t="shared" si="30"/>
        <v>38350.145221345592</v>
      </c>
      <c r="L106" s="30">
        <f t="shared" si="30"/>
        <v>27764.096814230405</v>
      </c>
      <c r="M106" s="30">
        <f t="shared" si="30"/>
        <v>27314.096814230405</v>
      </c>
      <c r="N106" s="30">
        <f t="shared" si="30"/>
        <v>26789.096814230405</v>
      </c>
      <c r="O106" s="30">
        <f t="shared" si="30"/>
        <v>26889.096814230405</v>
      </c>
      <c r="P106" s="30">
        <f t="shared" si="30"/>
        <v>346616.2402010049</v>
      </c>
      <c r="Q106" s="25"/>
      <c r="R106" s="25"/>
    </row>
    <row r="107" spans="1:18" x14ac:dyDescent="0.3">
      <c r="A107" s="26"/>
      <c r="B107" s="27" t="s">
        <v>86</v>
      </c>
      <c r="C107" s="25"/>
      <c r="D107" s="43"/>
      <c r="E107" s="43"/>
      <c r="F107" s="43"/>
      <c r="G107" s="43"/>
      <c r="H107" s="43"/>
      <c r="I107" s="43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 x14ac:dyDescent="0.3">
      <c r="A108" s="25"/>
      <c r="B108" s="25"/>
      <c r="C108" s="25"/>
      <c r="D108" s="43"/>
      <c r="E108" s="43"/>
      <c r="F108" s="43"/>
      <c r="G108" s="43"/>
      <c r="H108" s="43"/>
      <c r="I108" s="43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 ht="15" thickBot="1" x14ac:dyDescent="0.35">
      <c r="A109" s="25"/>
      <c r="B109" s="25" t="s">
        <v>112</v>
      </c>
      <c r="C109" s="25"/>
      <c r="D109" s="31">
        <f t="shared" ref="D109:I109" si="31">D32-D106-D107</f>
        <v>1294.6370697599887</v>
      </c>
      <c r="E109" s="31">
        <f t="shared" si="31"/>
        <v>-1181.6828142304075</v>
      </c>
      <c r="F109" s="31">
        <f t="shared" si="31"/>
        <v>-10066.429721345597</v>
      </c>
      <c r="G109" s="31">
        <f t="shared" si="31"/>
        <v>653.09318576959413</v>
      </c>
      <c r="H109" s="31">
        <f t="shared" si="31"/>
        <v>2041.0461857695918</v>
      </c>
      <c r="I109" s="31">
        <f t="shared" si="31"/>
        <v>878.09318576959413</v>
      </c>
      <c r="J109" s="31">
        <f t="shared" ref="J109:P109" si="32">J32-J106-J107</f>
        <v>1866.0461857695918</v>
      </c>
      <c r="K109" s="31">
        <f t="shared" si="32"/>
        <v>-9645.0022213455959</v>
      </c>
      <c r="L109" s="31">
        <f t="shared" si="32"/>
        <v>128.09318576959413</v>
      </c>
      <c r="M109" s="31">
        <f t="shared" si="32"/>
        <v>1391.0461857695918</v>
      </c>
      <c r="N109" s="31">
        <f t="shared" si="32"/>
        <v>1103.0931857695941</v>
      </c>
      <c r="O109" s="31">
        <f t="shared" si="32"/>
        <v>1816.0461857695918</v>
      </c>
      <c r="P109" s="31">
        <f t="shared" si="32"/>
        <v>-9721.9202010048903</v>
      </c>
      <c r="Q109" s="25"/>
      <c r="R109" s="25"/>
    </row>
    <row r="110" spans="1:18" ht="15" thickTop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R111"/>
  <sheetViews>
    <sheetView workbookViewId="0">
      <pane xSplit="3" ySplit="3" topLeftCell="D59" activePane="bottomRight" state="frozen"/>
      <selection pane="topRight" activeCell="D1" sqref="D1"/>
      <selection pane="bottomLeft" activeCell="A4" sqref="A4"/>
      <selection pane="bottomRight" activeCell="S74" sqref="S74"/>
    </sheetView>
  </sheetViews>
  <sheetFormatPr defaultRowHeight="14.4" x14ac:dyDescent="0.3"/>
  <cols>
    <col min="2" max="2" width="29.5546875" customWidth="1"/>
    <col min="3" max="3" width="2" customWidth="1"/>
    <col min="4" max="16" width="9.44140625" style="43" bestFit="1" customWidth="1"/>
    <col min="17" max="17" width="13.88671875" style="43" bestFit="1" customWidth="1"/>
    <col min="18" max="18" width="9.109375" style="43"/>
  </cols>
  <sheetData>
    <row r="3" spans="1:18" x14ac:dyDescent="0.3">
      <c r="D3" s="46" t="s">
        <v>100</v>
      </c>
      <c r="E3" s="46" t="s">
        <v>101</v>
      </c>
      <c r="F3" s="46" t="s">
        <v>102</v>
      </c>
      <c r="G3" s="46" t="s">
        <v>103</v>
      </c>
      <c r="H3" s="46" t="s">
        <v>104</v>
      </c>
      <c r="I3" s="46" t="s">
        <v>105</v>
      </c>
      <c r="J3" s="46" t="s">
        <v>106</v>
      </c>
      <c r="K3" s="46" t="s">
        <v>107</v>
      </c>
      <c r="L3" s="46" t="s">
        <v>108</v>
      </c>
      <c r="M3" s="46" t="s">
        <v>109</v>
      </c>
      <c r="N3" s="46" t="s">
        <v>110</v>
      </c>
      <c r="O3" s="46" t="s">
        <v>111</v>
      </c>
      <c r="P3" s="9" t="s">
        <v>113</v>
      </c>
    </row>
    <row r="4" spans="1:18" x14ac:dyDescent="0.3">
      <c r="A4" s="195" t="s">
        <v>99</v>
      </c>
      <c r="B4" s="195"/>
    </row>
    <row r="5" spans="1:18" x14ac:dyDescent="0.3">
      <c r="A5" s="195" t="s">
        <v>1</v>
      </c>
      <c r="B5" s="195"/>
      <c r="D5" s="43" t="s">
        <v>99</v>
      </c>
      <c r="E5" s="43" t="s">
        <v>99</v>
      </c>
      <c r="F5" s="43" t="s">
        <v>99</v>
      </c>
      <c r="G5" s="43" t="s">
        <v>99</v>
      </c>
      <c r="H5" s="43" t="s">
        <v>99</v>
      </c>
      <c r="I5" s="43" t="s">
        <v>99</v>
      </c>
      <c r="J5" s="43" t="s">
        <v>99</v>
      </c>
      <c r="K5" s="43" t="s">
        <v>99</v>
      </c>
      <c r="L5" s="43" t="s">
        <v>99</v>
      </c>
      <c r="M5" s="43" t="s">
        <v>99</v>
      </c>
      <c r="N5" s="43" t="s">
        <v>99</v>
      </c>
      <c r="O5" s="43" t="s">
        <v>99</v>
      </c>
    </row>
    <row r="6" spans="1:18" x14ac:dyDescent="0.3">
      <c r="A6" s="1"/>
      <c r="B6" s="94" t="s">
        <v>2</v>
      </c>
      <c r="D6" s="43">
        <f>Cornerstone!D7+SPOL!D6+Hamline!D6+BlueLine!D6+MPLSHOPWA1!D6+MPLSHOPWA2!D6+MPLSHOPWA2!D6</f>
        <v>0</v>
      </c>
      <c r="E6" s="43">
        <f>Cornerstone!E7+SPOL!E6+Hamline!E6+BlueLine!E6+MPLSHOPWA1!E6+MPLSHOPWA2!E6+MPLSHOPWA2!E6</f>
        <v>0</v>
      </c>
      <c r="F6" s="43">
        <f>Cornerstone!F7+SPOL!F6+Hamline!F6+BlueLine!F6+MPLSHOPWA1!F6+MPLSHOPWA2!F6+MPLSHOPWA2!F6</f>
        <v>0</v>
      </c>
      <c r="G6" s="43">
        <f>Cornerstone!G7+SPOL!G6+Hamline!G6+BlueLine!G6+MPLSHOPWA1!G6+MPLSHOPWA2!G6+MPLSHOPWA2!G6</f>
        <v>0</v>
      </c>
      <c r="H6" s="43">
        <f>Cornerstone!H7+SPOL!H6+Hamline!H6+BlueLine!H6+MPLSHOPWA1!H6+MPLSHOPWA2!H6+MPLSHOPWA2!H6</f>
        <v>0</v>
      </c>
      <c r="I6" s="43">
        <f>Cornerstone!I7+SPOL!I6+Hamline!I6+BlueLine!I6+MPLSHOPWA1!I6+MPLSHOPWA2!I6+MPLSHOPWA2!I6</f>
        <v>0</v>
      </c>
      <c r="J6" s="43">
        <f>Cornerstone!J7+SPOL!J6+Hamline!J6+BlueLine!J6+MPLSHOPWA1!J6+MPLSHOPWA2!J6+MPLSHOPWA2!J6</f>
        <v>0</v>
      </c>
      <c r="K6" s="43">
        <f>Cornerstone!K7+SPOL!K6+Hamline!K6+BlueLine!K6+MPLSHOPWA1!K6+MPLSHOPWA2!K6+MPLSHOPWA2!K6</f>
        <v>0</v>
      </c>
      <c r="L6" s="43">
        <f>Cornerstone!L7+SPOL!L6+Hamline!L6+BlueLine!L6+MPLSHOPWA1!L6+MPLSHOPWA2!L6+MPLSHOPWA2!L6</f>
        <v>0</v>
      </c>
      <c r="M6" s="43">
        <f>Cornerstone!M7+SPOL!M6+Hamline!M6+BlueLine!M6+MPLSHOPWA1!M6+MPLSHOPWA2!M6+MPLSHOPWA2!M6</f>
        <v>0</v>
      </c>
      <c r="N6" s="43">
        <f>Cornerstone!N7+SPOL!N6+Hamline!N6+BlueLine!N6+MPLSHOPWA1!N6+MPLSHOPWA2!N6+MPLSHOPWA2!N6</f>
        <v>0</v>
      </c>
      <c r="O6" s="43">
        <f>Cornerstone!O7+SPOL!O6+Hamline!O6+BlueLine!O6+MPLSHOPWA1!O6+MPLSHOPWA2!O6+MPLSHOPWA2!O6</f>
        <v>0</v>
      </c>
      <c r="P6" s="43">
        <f>Cornerstone!P7+SPOL!P6+Hamline!P6+BlueLine!P6+MPLSHOPWA1!P6+MPLSHOPWA2!P6</f>
        <v>0</v>
      </c>
    </row>
    <row r="7" spans="1:18" x14ac:dyDescent="0.3">
      <c r="A7" s="1"/>
      <c r="B7" s="94" t="s">
        <v>204</v>
      </c>
      <c r="D7" s="43">
        <f>Cornerstone!D8+SPOL!D7+Hamline!D7+BlueLine!D7+MPLSHOPWA1!D7+MPLSHOPWA2!D7+MPLSHOPWA2!D7</f>
        <v>6395.61</v>
      </c>
      <c r="E7" s="43">
        <f>Cornerstone!E8+SPOL!E7+Hamline!E7+BlueLine!E7+MPLSHOPWA1!E7+MPLSHOPWA2!E7+MPLSHOPWA2!E7</f>
        <v>5776.6799999999994</v>
      </c>
      <c r="F7" s="43">
        <f>Cornerstone!F8+SPOL!F7+Hamline!F7+BlueLine!F7+MPLSHOPWA1!F7+MPLSHOPWA2!F7+MPLSHOPWA2!F7</f>
        <v>6395.61</v>
      </c>
      <c r="G7" s="43">
        <f>Cornerstone!G8+SPOL!G7+Hamline!G7+BlueLine!G7+MPLSHOPWA1!G7+MPLSHOPWA2!G7+MPLSHOPWA2!G7</f>
        <v>6189.2999999999993</v>
      </c>
      <c r="H7" s="43">
        <f>Cornerstone!H8+SPOL!H7+Hamline!H7+BlueLine!H7+MPLSHOPWA1!H7+MPLSHOPWA2!H7+MPLSHOPWA2!H7</f>
        <v>6395.61</v>
      </c>
      <c r="I7" s="43">
        <f>Cornerstone!I8+SPOL!I7+Hamline!I7+BlueLine!I7+MPLSHOPWA1!I7+MPLSHOPWA2!I7+MPLSHOPWA2!I7</f>
        <v>6189.2999999999993</v>
      </c>
      <c r="J7" s="43">
        <f>Cornerstone!J8+SPOL!J7+Hamline!J7+BlueLine!J7+MPLSHOPWA1!J7+MPLSHOPWA2!J7+MPLSHOPWA2!J7</f>
        <v>6395.61</v>
      </c>
      <c r="K7" s="43">
        <f>Cornerstone!K8+SPOL!K7+Hamline!K7+BlueLine!K7+MPLSHOPWA1!K7+MPLSHOPWA2!K7+MPLSHOPWA2!K7</f>
        <v>6395.61</v>
      </c>
      <c r="L7" s="43">
        <f>Cornerstone!L8+SPOL!L7+Hamline!L7+BlueLine!L7+MPLSHOPWA1!L7+MPLSHOPWA2!L7+MPLSHOPWA2!L7</f>
        <v>6189.2999999999993</v>
      </c>
      <c r="M7" s="43">
        <f>Cornerstone!M8+SPOL!M7+Hamline!M7+BlueLine!M7+MPLSHOPWA1!M7+MPLSHOPWA2!M7+MPLSHOPWA2!M7</f>
        <v>6395.61</v>
      </c>
      <c r="N7" s="43">
        <f>Cornerstone!N8+SPOL!N7+Hamline!N7+BlueLine!N7+MPLSHOPWA1!N7+MPLSHOPWA2!N7+MPLSHOPWA2!N7</f>
        <v>6189.2999999999993</v>
      </c>
      <c r="O7" s="43">
        <f>Cornerstone!O8+SPOL!O7+Hamline!O7+BlueLine!O7+MPLSHOPWA1!O7+MPLSHOPWA2!O7+MPLSHOPWA2!O7</f>
        <v>6395.61</v>
      </c>
      <c r="P7" s="43">
        <f>SUM(D7:O7)</f>
        <v>75303.150000000009</v>
      </c>
    </row>
    <row r="8" spans="1:18" s="42" customFormat="1" x14ac:dyDescent="0.3">
      <c r="A8" s="1"/>
      <c r="B8" s="94" t="s">
        <v>205</v>
      </c>
      <c r="D8" s="43">
        <f>Cornerstone!D9+SPOL!D8+Hamline!D8+BlueLine!D8+MPLSHOPWA1!D8+MPLSHOPWA2!D8+MPLSHOPWA2!D8</f>
        <v>600</v>
      </c>
      <c r="E8" s="43">
        <f>Cornerstone!E9+SPOL!E8+Hamline!E8+BlueLine!E8+MPLSHOPWA1!E8+MPLSHOPWA2!E8+MPLSHOPWA2!E8</f>
        <v>600</v>
      </c>
      <c r="F8" s="43">
        <f>Cornerstone!F9+SPOL!F8+Hamline!F8+BlueLine!F8+MPLSHOPWA1!F8+MPLSHOPWA2!F8+MPLSHOPWA2!F8</f>
        <v>600</v>
      </c>
      <c r="G8" s="43">
        <f>Cornerstone!G9+SPOL!G8+Hamline!G8+BlueLine!G8+MPLSHOPWA1!G8+MPLSHOPWA2!G8+MPLSHOPWA2!G8</f>
        <v>600</v>
      </c>
      <c r="H8" s="43">
        <f>Cornerstone!H9+SPOL!H8+Hamline!H8+BlueLine!H8+MPLSHOPWA1!H8+MPLSHOPWA2!H8+MPLSHOPWA2!H8</f>
        <v>600</v>
      </c>
      <c r="I8" s="43">
        <f>Cornerstone!I9+SPOL!I8+Hamline!I8+BlueLine!I8+MPLSHOPWA1!I8+MPLSHOPWA2!I8+MPLSHOPWA2!I8</f>
        <v>600</v>
      </c>
      <c r="J8" s="43">
        <f>Cornerstone!J9+SPOL!J8+Hamline!J8+BlueLine!J8+MPLSHOPWA1!J8+MPLSHOPWA2!J8+MPLSHOPWA2!J8</f>
        <v>600</v>
      </c>
      <c r="K8" s="43">
        <f>Cornerstone!K9+SPOL!K8+Hamline!K8+BlueLine!K8+MPLSHOPWA1!K8+MPLSHOPWA2!K8+MPLSHOPWA2!K8</f>
        <v>600</v>
      </c>
      <c r="L8" s="43">
        <f>Cornerstone!L9+SPOL!L8+Hamline!L8+BlueLine!L8+MPLSHOPWA1!L8+MPLSHOPWA2!L8+MPLSHOPWA2!L8</f>
        <v>600</v>
      </c>
      <c r="M8" s="43">
        <f>Cornerstone!M9+SPOL!M8+Hamline!M8+BlueLine!M8+MPLSHOPWA1!M8+MPLSHOPWA2!M8+MPLSHOPWA2!M8</f>
        <v>600</v>
      </c>
      <c r="N8" s="43">
        <f>Cornerstone!N9+SPOL!N8+Hamline!N8+BlueLine!N8+MPLSHOPWA1!N8+MPLSHOPWA2!N8+MPLSHOPWA2!N8</f>
        <v>600</v>
      </c>
      <c r="O8" s="43">
        <f>Cornerstone!O9+SPOL!O8+Hamline!O8+BlueLine!O8+MPLSHOPWA1!O8+MPLSHOPWA2!O8+MPLSHOPWA2!O8</f>
        <v>600</v>
      </c>
      <c r="P8" s="43">
        <f>SUM(D8:O8)</f>
        <v>7200</v>
      </c>
      <c r="Q8" s="43"/>
      <c r="R8" s="43"/>
    </row>
    <row r="9" spans="1:18" x14ac:dyDescent="0.3">
      <c r="A9" s="1"/>
      <c r="B9" s="94" t="s">
        <v>4</v>
      </c>
      <c r="D9" s="43">
        <f>Cornerstone!D10+SPOL!D9+Hamline!D9+BlueLine!D9+MPLSHOPWA1!D9+MPLSHOPWA2!D9+MPLSHOPWA2!D9</f>
        <v>0</v>
      </c>
      <c r="E9" s="43">
        <f>Cornerstone!E10+SPOL!E9+Hamline!E9+BlueLine!E9+MPLSHOPWA1!E9+MPLSHOPWA2!E9+MPLSHOPWA2!E9</f>
        <v>0</v>
      </c>
      <c r="F9" s="43">
        <f>Cornerstone!F10+SPOL!F9+Hamline!F9+BlueLine!F9+MPLSHOPWA1!F9+MPLSHOPWA2!F9+MPLSHOPWA2!F9</f>
        <v>0</v>
      </c>
      <c r="G9" s="43">
        <f>Cornerstone!G10+SPOL!G9+Hamline!G9+BlueLine!G9+MPLSHOPWA1!G9+MPLSHOPWA2!G9+MPLSHOPWA2!G9</f>
        <v>0</v>
      </c>
      <c r="H9" s="43">
        <f>Cornerstone!H10+SPOL!H9+Hamline!H9+BlueLine!H9+MPLSHOPWA1!H9+MPLSHOPWA2!H9+MPLSHOPWA2!H9</f>
        <v>0</v>
      </c>
      <c r="I9" s="43">
        <f>Cornerstone!I10+SPOL!I9+Hamline!I9+BlueLine!I9+MPLSHOPWA1!I9+MPLSHOPWA2!I9+MPLSHOPWA2!I9</f>
        <v>0</v>
      </c>
      <c r="J9" s="43">
        <f>Cornerstone!J10+SPOL!J9+Hamline!J9+BlueLine!J9+MPLSHOPWA1!J9+MPLSHOPWA2!J9+MPLSHOPWA2!J9</f>
        <v>0</v>
      </c>
      <c r="K9" s="43">
        <f>Cornerstone!K10+SPOL!K9+Hamline!K9+BlueLine!K9+MPLSHOPWA1!K9+MPLSHOPWA2!K9+MPLSHOPWA2!K9</f>
        <v>0</v>
      </c>
      <c r="L9" s="43">
        <f>Cornerstone!L10+SPOL!L9+Hamline!L9+BlueLine!L9+MPLSHOPWA1!L9+MPLSHOPWA2!L9+MPLSHOPWA2!L9</f>
        <v>0</v>
      </c>
      <c r="M9" s="43">
        <f>Cornerstone!M10+SPOL!M9+Hamline!M9+BlueLine!M9+MPLSHOPWA1!M9+MPLSHOPWA2!M9+MPLSHOPWA2!M9</f>
        <v>0</v>
      </c>
      <c r="N9" s="43">
        <f>Cornerstone!N10+SPOL!N9+Hamline!N9+BlueLine!N9+MPLSHOPWA1!N9+MPLSHOPWA2!N9+MPLSHOPWA2!N9</f>
        <v>0</v>
      </c>
      <c r="O9" s="43">
        <f>Cornerstone!O10+SPOL!O9+Hamline!O9+BlueLine!O9+MPLSHOPWA1!O9+MPLSHOPWA2!O9+MPLSHOPWA2!O9</f>
        <v>0</v>
      </c>
      <c r="P9" s="43">
        <f>SUM(D9:O9)</f>
        <v>0</v>
      </c>
      <c r="R9" s="43">
        <f>2716*12</f>
        <v>32592</v>
      </c>
    </row>
    <row r="10" spans="1:18" s="42" customFormat="1" x14ac:dyDescent="0.3">
      <c r="A10" s="1"/>
      <c r="B10" s="94" t="s">
        <v>206</v>
      </c>
      <c r="D10" s="43">
        <f>Cornerstone!D11+SPOL!D10+Hamline!D10+BlueLine!D10+MPLSHOPWA1!D10+MPLSHOPWA2!D10+MPLSHOPWA2!D10</f>
        <v>615</v>
      </c>
      <c r="E10" s="43">
        <f>Cornerstone!E11+SPOL!E10+Hamline!E10+BlueLine!E10+MPLSHOPWA1!E10+MPLSHOPWA2!E10+MPLSHOPWA2!E10</f>
        <v>615</v>
      </c>
      <c r="F10" s="43">
        <f>Cornerstone!F11+SPOL!F10+Hamline!F10+BlueLine!F10+MPLSHOPWA1!F10+MPLSHOPWA2!F10+MPLSHOPWA2!F10</f>
        <v>615</v>
      </c>
      <c r="G10" s="43">
        <f>Cornerstone!G11+SPOL!G10+Hamline!G10+BlueLine!G10+MPLSHOPWA1!G10+MPLSHOPWA2!G10+MPLSHOPWA2!G10</f>
        <v>615</v>
      </c>
      <c r="H10" s="43">
        <f>Cornerstone!H11+SPOL!H10+Hamline!H10+BlueLine!H10+MPLSHOPWA1!H10+MPLSHOPWA2!H10+MPLSHOPWA2!H10</f>
        <v>615</v>
      </c>
      <c r="I10" s="43">
        <f>Cornerstone!I11+SPOL!I10+Hamline!I10+BlueLine!I10+MPLSHOPWA1!I10+MPLSHOPWA2!I10+MPLSHOPWA2!I10</f>
        <v>615</v>
      </c>
      <c r="J10" s="43">
        <f>Cornerstone!J11+SPOL!J10+Hamline!J10+BlueLine!J10+MPLSHOPWA1!J10+MPLSHOPWA2!J10+MPLSHOPWA2!J10</f>
        <v>615</v>
      </c>
      <c r="K10" s="43">
        <f>Cornerstone!K11+SPOL!K10+Hamline!K10+BlueLine!K10+MPLSHOPWA1!K10+MPLSHOPWA2!K10+MPLSHOPWA2!K10</f>
        <v>615</v>
      </c>
      <c r="L10" s="43">
        <f>Cornerstone!L11+SPOL!L10+Hamline!L10+BlueLine!L10+MPLSHOPWA1!L10+MPLSHOPWA2!L10+MPLSHOPWA2!L10</f>
        <v>615</v>
      </c>
      <c r="M10" s="43">
        <f>Cornerstone!M11+SPOL!M10+Hamline!M10+BlueLine!M10+MPLSHOPWA1!M10+MPLSHOPWA2!M10+MPLSHOPWA2!M10</f>
        <v>615</v>
      </c>
      <c r="N10" s="43">
        <f>Cornerstone!N11+SPOL!N10+Hamline!N10+BlueLine!N10+MPLSHOPWA1!N10+MPLSHOPWA2!N10+MPLSHOPWA2!N10</f>
        <v>615</v>
      </c>
      <c r="O10" s="43">
        <f>Cornerstone!O11+SPOL!O10+Hamline!O10+BlueLine!O10+MPLSHOPWA1!O10+MPLSHOPWA2!O10+MPLSHOPWA2!O10</f>
        <v>615</v>
      </c>
      <c r="P10" s="43">
        <f>SUM(D10:O10)</f>
        <v>7380</v>
      </c>
      <c r="Q10" s="43"/>
      <c r="R10" s="43"/>
    </row>
    <row r="11" spans="1:18" x14ac:dyDescent="0.3">
      <c r="A11" s="1"/>
      <c r="B11" s="94" t="s">
        <v>207</v>
      </c>
      <c r="D11" s="43">
        <f>Cornerstone!D12+SPOL!D11+Hamline!D11+BlueLine!D11+MPLSHOPWA1!D11+MPLSHOPWA2!D11</f>
        <v>5454</v>
      </c>
      <c r="E11" s="43">
        <f>Cornerstone!E12+SPOL!E11+Hamline!E11+BlueLine!E11+MPLSHOPWA1!E11+MPLSHOPWA2!E11</f>
        <v>5454</v>
      </c>
      <c r="F11" s="43">
        <f>Cornerstone!F12+SPOL!F11+Hamline!F11+BlueLine!F11+MPLSHOPWA1!F11+MPLSHOPWA2!F11</f>
        <v>5454</v>
      </c>
      <c r="G11" s="43">
        <f>Cornerstone!G12+SPOL!G11+Hamline!G11+BlueLine!G11+MPLSHOPWA1!G11+MPLSHOPWA2!G11</f>
        <v>5454</v>
      </c>
      <c r="H11" s="43">
        <f>Cornerstone!H12+SPOL!H11+Hamline!H11+BlueLine!H11+MPLSHOPWA1!H11+MPLSHOPWA2!H11</f>
        <v>5454</v>
      </c>
      <c r="I11" s="43">
        <f>Cornerstone!I12+SPOL!I11+Hamline!I11+BlueLine!I11+MPLSHOPWA1!I11+MPLSHOPWA2!I11</f>
        <v>5454</v>
      </c>
      <c r="J11" s="43">
        <f>Cornerstone!J12+SPOL!J11+Hamline!J11+BlueLine!J11+MPLSHOPWA1!J11+MPLSHOPWA2!J11</f>
        <v>5454</v>
      </c>
      <c r="K11" s="43">
        <f>Cornerstone!K12+SPOL!K11+Hamline!K11+BlueLine!K11+MPLSHOPWA1!K11+MPLSHOPWA2!K11</f>
        <v>5454</v>
      </c>
      <c r="L11" s="43">
        <f>Cornerstone!L12+SPOL!L11+Hamline!L11+BlueLine!L11+MPLSHOPWA1!L11+MPLSHOPWA2!L11</f>
        <v>5454</v>
      </c>
      <c r="M11" s="43">
        <f>Cornerstone!M12+SPOL!M11+Hamline!M11+BlueLine!M11+MPLSHOPWA1!M11+MPLSHOPWA2!M11</f>
        <v>5454</v>
      </c>
      <c r="N11" s="43">
        <f>Cornerstone!N12+SPOL!N11+Hamline!N11+BlueLine!N11+MPLSHOPWA1!N11+MPLSHOPWA2!N11</f>
        <v>5454</v>
      </c>
      <c r="O11" s="43">
        <f>Cornerstone!O12+SPOL!O11+Hamline!O11+BlueLine!O11+MPLSHOPWA1!O11+MPLSHOPWA2!O11</f>
        <v>5454</v>
      </c>
      <c r="P11" s="43">
        <f>SUM(D11:O11)</f>
        <v>65448</v>
      </c>
    </row>
    <row r="12" spans="1:18" x14ac:dyDescent="0.3">
      <c r="A12" s="195" t="s">
        <v>6</v>
      </c>
      <c r="B12" s="195"/>
      <c r="D12" s="28">
        <f>SUM(D6:D11)</f>
        <v>13064.61</v>
      </c>
      <c r="E12" s="28">
        <f t="shared" ref="E12:P12" si="0">SUM(E6:E11)</f>
        <v>12445.68</v>
      </c>
      <c r="F12" s="28">
        <f t="shared" si="0"/>
        <v>13064.61</v>
      </c>
      <c r="G12" s="28">
        <f t="shared" si="0"/>
        <v>12858.3</v>
      </c>
      <c r="H12" s="28">
        <f t="shared" si="0"/>
        <v>13064.61</v>
      </c>
      <c r="I12" s="28">
        <f t="shared" si="0"/>
        <v>12858.3</v>
      </c>
      <c r="J12" s="28">
        <f t="shared" si="0"/>
        <v>13064.61</v>
      </c>
      <c r="K12" s="28">
        <f t="shared" si="0"/>
        <v>13064.61</v>
      </c>
      <c r="L12" s="28">
        <f t="shared" si="0"/>
        <v>12858.3</v>
      </c>
      <c r="M12" s="28">
        <f t="shared" si="0"/>
        <v>13064.61</v>
      </c>
      <c r="N12" s="28">
        <f t="shared" si="0"/>
        <v>12858.3</v>
      </c>
      <c r="O12" s="28">
        <f t="shared" si="0"/>
        <v>13064.61</v>
      </c>
      <c r="P12" s="28">
        <f t="shared" si="0"/>
        <v>155331.15000000002</v>
      </c>
      <c r="Q12" s="29">
        <f>P12-P6-P7-P9-P11</f>
        <v>14580.000000000015</v>
      </c>
    </row>
    <row r="13" spans="1:18" x14ac:dyDescent="0.3">
      <c r="A13" s="195" t="s">
        <v>7</v>
      </c>
      <c r="B13" s="195"/>
    </row>
    <row r="14" spans="1:18" x14ac:dyDescent="0.3">
      <c r="A14" s="1"/>
      <c r="B14" s="97" t="s">
        <v>8</v>
      </c>
      <c r="D14" s="43">
        <f>Cornerstone!D15+SPOL!D14+Hamline!D14+BlueLine!D14+MPLSHOPWA1!D14+MPLSHOPWA2!D14</f>
        <v>17192</v>
      </c>
      <c r="E14" s="43">
        <f>Cornerstone!E15+SPOL!E14+Hamline!E14+BlueLine!E14+MPLSHOPWA1!E14+MPLSHOPWA2!E14</f>
        <v>15434</v>
      </c>
      <c r="F14" s="43">
        <f>Cornerstone!F15+SPOL!F14+Hamline!F14+BlueLine!F14+MPLSHOPWA1!F14+MPLSHOPWA2!F14</f>
        <v>15434</v>
      </c>
      <c r="G14" s="43">
        <f>Cornerstone!G15+SPOL!G14+Hamline!G14+BlueLine!G14+MPLSHOPWA1!G14+MPLSHOPWA2!G14</f>
        <v>15434</v>
      </c>
      <c r="H14" s="43">
        <f>Cornerstone!H15+SPOL!H14+Hamline!H14+BlueLine!H14+MPLSHOPWA1!H14+MPLSHOPWA2!H14</f>
        <v>15434</v>
      </c>
      <c r="I14" s="43">
        <f>Cornerstone!I15+SPOL!I14+Hamline!I14+BlueLine!I14+MPLSHOPWA1!I14+MPLSHOPWA2!I14</f>
        <v>15434</v>
      </c>
      <c r="J14" s="43">
        <f>Cornerstone!J15+SPOL!J14+Hamline!J14+BlueLine!J14+MPLSHOPWA1!J14+MPLSHOPWA2!J14</f>
        <v>15434</v>
      </c>
      <c r="K14" s="43">
        <f>Cornerstone!K15+SPOL!K14+Hamline!K14+BlueLine!K14+MPLSHOPWA1!K14+MPLSHOPWA2!K14</f>
        <v>17192</v>
      </c>
      <c r="L14" s="43">
        <f>Cornerstone!L15+SPOL!L14+Hamline!L14+BlueLine!L14+MPLSHOPWA1!L14+MPLSHOPWA2!L14</f>
        <v>15141</v>
      </c>
      <c r="M14" s="43">
        <f>Cornerstone!M15+SPOL!M14+Hamline!M14+BlueLine!M14+MPLSHOPWA1!M14+MPLSHOPWA2!M14</f>
        <v>15141</v>
      </c>
      <c r="N14" s="43">
        <f>Cornerstone!N15+SPOL!N14+Hamline!N14+BlueLine!N14+MPLSHOPWA1!N14+MPLSHOPWA2!N14</f>
        <v>15141</v>
      </c>
      <c r="O14" s="43">
        <f>Cornerstone!O15+SPOL!O14+Hamline!O14+BlueLine!O14+MPLSHOPWA1!O14+MPLSHOPWA2!O14</f>
        <v>15141</v>
      </c>
      <c r="P14" s="43">
        <f>SUM(D14:O14)</f>
        <v>187552</v>
      </c>
    </row>
    <row r="15" spans="1:18" x14ac:dyDescent="0.3">
      <c r="A15" s="1"/>
      <c r="B15" s="97" t="s">
        <v>9</v>
      </c>
      <c r="D15" s="43">
        <f>Cornerstone!D16+SPOL!D15+Hamline!D15+BlueLine!D15+MPLSHOPWA1!D15+MPLSHOPWA2!D15+MPLSHOPWA2!D15</f>
        <v>16596</v>
      </c>
      <c r="E15" s="43">
        <f>Cornerstone!E16+SPOL!E15+Hamline!E15+BlueLine!E15+MPLSHOPWA1!E15+MPLSHOPWA2!E15+MPLSHOPWA2!E15</f>
        <v>16596</v>
      </c>
      <c r="F15" s="43">
        <f>Cornerstone!F16+SPOL!F15+Hamline!F15+BlueLine!F15+MPLSHOPWA1!F15+MPLSHOPWA2!F15+MPLSHOPWA2!F15</f>
        <v>16596</v>
      </c>
      <c r="G15" s="43">
        <f>Cornerstone!G16+SPOL!G15+Hamline!G15+BlueLine!G15+MPLSHOPWA1!G15+MPLSHOPWA2!G15+MPLSHOPWA2!G15</f>
        <v>16596</v>
      </c>
      <c r="H15" s="43">
        <f>Cornerstone!H16+SPOL!H15+Hamline!H15+BlueLine!H15+MPLSHOPWA1!H15+MPLSHOPWA2!H15+MPLSHOPWA2!H15</f>
        <v>16596</v>
      </c>
      <c r="I15" s="43">
        <f>Cornerstone!I16+SPOL!I15+Hamline!I15+BlueLine!I15+MPLSHOPWA1!I15+MPLSHOPWA2!I15+MPLSHOPWA2!I15</f>
        <v>16596</v>
      </c>
      <c r="J15" s="43">
        <f>Cornerstone!J16+SPOL!J15+Hamline!J15+BlueLine!J15+MPLSHOPWA1!J15+MPLSHOPWA2!J15+MPLSHOPWA2!J15</f>
        <v>16596</v>
      </c>
      <c r="K15" s="43">
        <f>Cornerstone!K16+SPOL!K15+Hamline!K15+BlueLine!K15+MPLSHOPWA1!K15+MPLSHOPWA2!K15+MPLSHOPWA2!K15</f>
        <v>16596</v>
      </c>
      <c r="L15" s="43">
        <f>Cornerstone!L16+SPOL!L15+Hamline!L15+BlueLine!L15+MPLSHOPWA1!L15+MPLSHOPWA2!L15+MPLSHOPWA2!L15</f>
        <v>16596</v>
      </c>
      <c r="M15" s="43">
        <f>Cornerstone!M16+SPOL!M15+Hamline!M15+BlueLine!M15+MPLSHOPWA1!M15+MPLSHOPWA2!M15+MPLSHOPWA2!M15</f>
        <v>16596</v>
      </c>
      <c r="N15" s="43">
        <f>Cornerstone!N16+SPOL!N15+Hamline!N15+BlueLine!N15+MPLSHOPWA1!N15+MPLSHOPWA2!N15+MPLSHOPWA2!N15</f>
        <v>16596</v>
      </c>
      <c r="O15" s="43">
        <f>Cornerstone!O16+SPOL!O15+Hamline!O15+BlueLine!O15+MPLSHOPWA1!O15+MPLSHOPWA2!O15+MPLSHOPWA2!O15</f>
        <v>16596</v>
      </c>
      <c r="P15" s="43">
        <f>SUM(D15:O15)</f>
        <v>199152</v>
      </c>
    </row>
    <row r="16" spans="1:18" x14ac:dyDescent="0.3">
      <c r="A16" s="1"/>
      <c r="B16" s="97" t="s">
        <v>219</v>
      </c>
      <c r="D16" s="43">
        <f>Cornerstone!D17+SPOL!D16+Hamline!D16+BlueLine!D16+MPLSHOPWA1!D16+MPLSHOPWA2!D16+MPLSHOPWA2!D16</f>
        <v>9399.5</v>
      </c>
      <c r="E16" s="43">
        <f>Cornerstone!E17+SPOL!E16+Hamline!E16+BlueLine!E16+MPLSHOPWA1!E16+MPLSHOPWA2!E16+MPLSHOPWA2!E16</f>
        <v>6183</v>
      </c>
      <c r="F16" s="43">
        <f>Cornerstone!F17+SPOL!F16+Hamline!F16+BlueLine!F16+MPLSHOPWA1!F16+MPLSHOPWA2!F16+MPLSHOPWA2!F16</f>
        <v>6183</v>
      </c>
      <c r="G16" s="43">
        <f>Cornerstone!G17+SPOL!G16+Hamline!G16+BlueLine!G16+MPLSHOPWA1!G16+MPLSHOPWA2!G16+MPLSHOPWA2!G16</f>
        <v>6183</v>
      </c>
      <c r="H16" s="43">
        <f>Cornerstone!H17+SPOL!H16+Hamline!H16+BlueLine!H16+MPLSHOPWA1!H16+MPLSHOPWA2!H16+MPLSHOPWA2!H16</f>
        <v>6183</v>
      </c>
      <c r="I16" s="43">
        <f>Cornerstone!I17+SPOL!I16+Hamline!I16+BlueLine!I16+MPLSHOPWA1!I16+MPLSHOPWA2!I16+MPLSHOPWA2!I16</f>
        <v>6183</v>
      </c>
      <c r="J16" s="43">
        <f>Cornerstone!J17+SPOL!J16+Hamline!J16+BlueLine!J16+MPLSHOPWA1!J16+MPLSHOPWA2!J16+MPLSHOPWA2!J16</f>
        <v>9399.5</v>
      </c>
      <c r="K16" s="43">
        <f>Cornerstone!K17+SPOL!K16+Hamline!K16+BlueLine!K16+MPLSHOPWA1!K16+MPLSHOPWA2!K16+MPLSHOPWA2!K16</f>
        <v>6183</v>
      </c>
      <c r="L16" s="43">
        <f>Cornerstone!L17+SPOL!L16+Hamline!L16+BlueLine!L16+MPLSHOPWA1!L16+MPLSHOPWA2!L16+MPLSHOPWA2!L16</f>
        <v>6183</v>
      </c>
      <c r="M16" s="43">
        <f>Cornerstone!M17+SPOL!M16+Hamline!M16+BlueLine!M16+MPLSHOPWA1!M16+MPLSHOPWA2!M16+MPLSHOPWA2!M16</f>
        <v>6183</v>
      </c>
      <c r="N16" s="43">
        <f>Cornerstone!N17+SPOL!N16+Hamline!N16+BlueLine!N16+MPLSHOPWA1!N16+MPLSHOPWA2!N16+MPLSHOPWA2!N16</f>
        <v>6183</v>
      </c>
      <c r="O16" s="43">
        <f>Cornerstone!O17+SPOL!O16+Hamline!O16+BlueLine!O16+MPLSHOPWA1!O16+MPLSHOPWA2!O16+MPLSHOPWA2!O16</f>
        <v>6183</v>
      </c>
      <c r="P16" s="43">
        <f>SUM(D16:O16)</f>
        <v>80629</v>
      </c>
    </row>
    <row r="17" spans="1:17" x14ac:dyDescent="0.3">
      <c r="A17" s="1"/>
      <c r="B17" s="66" t="s">
        <v>16</v>
      </c>
      <c r="D17" s="43">
        <f>Cornerstone!D18+SPOL!D17+Hamline!D17+BlueLine!D17+MPLSHOPWA1!D17+MPLSHOPWA2!D17+MPLSHOPWA2!D17</f>
        <v>0</v>
      </c>
      <c r="E17" s="43">
        <f>Cornerstone!E18+SPOL!E17+Hamline!E17+BlueLine!E17+MPLSHOPWA1!E17+MPLSHOPWA2!E17+MPLSHOPWA2!E17</f>
        <v>0</v>
      </c>
      <c r="F17" s="43">
        <f>Cornerstone!F18+SPOL!F17+Hamline!F17+BlueLine!F17+MPLSHOPWA1!F17+MPLSHOPWA2!F17+MPLSHOPWA2!F17</f>
        <v>0</v>
      </c>
      <c r="G17" s="43">
        <f>Cornerstone!G18+SPOL!G17+Hamline!G17+BlueLine!G17+MPLSHOPWA1!G17+MPLSHOPWA2!G17+MPLSHOPWA2!G17</f>
        <v>0</v>
      </c>
      <c r="H17" s="43">
        <f>Cornerstone!H18+SPOL!H17+Hamline!H17+BlueLine!H17+MPLSHOPWA1!H17+MPLSHOPWA2!H17+MPLSHOPWA2!H17</f>
        <v>0</v>
      </c>
      <c r="I17" s="43">
        <f>Cornerstone!I18+SPOL!I17+Hamline!I17+BlueLine!I17+MPLSHOPWA1!I17+MPLSHOPWA2!I17+MPLSHOPWA2!I17</f>
        <v>0</v>
      </c>
      <c r="J17" s="43">
        <f>Cornerstone!J18+SPOL!J17+Hamline!J17+BlueLine!J17+MPLSHOPWA1!J17+MPLSHOPWA2!J17+MPLSHOPWA2!J17</f>
        <v>0</v>
      </c>
      <c r="K17" s="43">
        <f>Cornerstone!K18+SPOL!K17+Hamline!K17+BlueLine!K17+MPLSHOPWA1!K17+MPLSHOPWA2!K17+MPLSHOPWA2!K17</f>
        <v>0</v>
      </c>
      <c r="L17" s="43">
        <f>Cornerstone!L18+SPOL!L17+Hamline!L17+BlueLine!L17+MPLSHOPWA1!L17+MPLSHOPWA2!L17+MPLSHOPWA2!L17</f>
        <v>0</v>
      </c>
      <c r="M17" s="43">
        <f>Cornerstone!M18+SPOL!M17+Hamline!M17+BlueLine!M17+MPLSHOPWA1!M17+MPLSHOPWA2!M17+MPLSHOPWA2!M17</f>
        <v>0</v>
      </c>
      <c r="N17" s="43">
        <f>Cornerstone!N18+SPOL!N17+Hamline!N17+BlueLine!N17+MPLSHOPWA1!N17+MPLSHOPWA2!N17+MPLSHOPWA2!N17</f>
        <v>0</v>
      </c>
      <c r="O17" s="43">
        <f>Cornerstone!O18+SPOL!O17+Hamline!O17+BlueLine!O17+MPLSHOPWA1!O17+MPLSHOPWA2!O17+MPLSHOPWA2!O17</f>
        <v>0</v>
      </c>
      <c r="P17" s="43">
        <f>SUM(D17:O17)</f>
        <v>0</v>
      </c>
    </row>
    <row r="18" spans="1:17" x14ac:dyDescent="0.3">
      <c r="A18" s="195" t="s">
        <v>10</v>
      </c>
      <c r="B18" s="195"/>
      <c r="D18" s="28">
        <f>SUM(D14:D17)</f>
        <v>43187.5</v>
      </c>
      <c r="E18" s="28">
        <f t="shared" ref="E18:P18" si="1">SUM(E14:E17)</f>
        <v>38213</v>
      </c>
      <c r="F18" s="28">
        <f t="shared" si="1"/>
        <v>38213</v>
      </c>
      <c r="G18" s="28">
        <f t="shared" si="1"/>
        <v>38213</v>
      </c>
      <c r="H18" s="28">
        <f t="shared" si="1"/>
        <v>38213</v>
      </c>
      <c r="I18" s="28">
        <f t="shared" si="1"/>
        <v>38213</v>
      </c>
      <c r="J18" s="28">
        <f t="shared" si="1"/>
        <v>41429.5</v>
      </c>
      <c r="K18" s="28">
        <f t="shared" si="1"/>
        <v>39971</v>
      </c>
      <c r="L18" s="28">
        <f t="shared" si="1"/>
        <v>37920</v>
      </c>
      <c r="M18" s="28">
        <f t="shared" si="1"/>
        <v>37920</v>
      </c>
      <c r="N18" s="28">
        <f t="shared" si="1"/>
        <v>37920</v>
      </c>
      <c r="O18" s="28">
        <f t="shared" si="1"/>
        <v>37920</v>
      </c>
      <c r="P18" s="28">
        <f t="shared" si="1"/>
        <v>467333</v>
      </c>
      <c r="Q18" s="29">
        <f>P18-P14-P15-P16-P17</f>
        <v>0</v>
      </c>
    </row>
    <row r="19" spans="1:17" x14ac:dyDescent="0.3">
      <c r="A19" s="195" t="s">
        <v>11</v>
      </c>
      <c r="B19" s="195"/>
    </row>
    <row r="20" spans="1:17" x14ac:dyDescent="0.3">
      <c r="A20" s="1"/>
      <c r="B20" s="2" t="s">
        <v>12</v>
      </c>
      <c r="D20" s="43">
        <f>Cornerstone!D21+SPOL!D20+Hamline!D20+BlueLine!D20+MPLSHOPWA1!D20+MPLSHOPWA2!D20+MPLSHOPWA2!D20</f>
        <v>0</v>
      </c>
      <c r="E20" s="43">
        <f>Cornerstone!E21+SPOL!E20+Hamline!E20+BlueLine!E20+MPLSHOPWA1!E20+MPLSHOPWA2!E20+MPLSHOPWA2!E20</f>
        <v>0</v>
      </c>
      <c r="F20" s="43">
        <f>Cornerstone!F21+SPOL!F20+Hamline!F20+BlueLine!F20+MPLSHOPWA1!F20+MPLSHOPWA2!F20+MPLSHOPWA2!F20</f>
        <v>0</v>
      </c>
      <c r="G20" s="43">
        <f>Cornerstone!G21+SPOL!G20+Hamline!G20+BlueLine!G20+MPLSHOPWA1!G20+MPLSHOPWA2!G20+MPLSHOPWA2!G20</f>
        <v>0</v>
      </c>
      <c r="H20" s="43">
        <f>Cornerstone!H21+SPOL!H20+Hamline!H20+BlueLine!H20+MPLSHOPWA1!H20+MPLSHOPWA2!H20+MPLSHOPWA2!H20</f>
        <v>0</v>
      </c>
      <c r="I20" s="43">
        <f>Cornerstone!I21+SPOL!I20+Hamline!I20+BlueLine!I20+MPLSHOPWA1!I20+MPLSHOPWA2!I20+MPLSHOPWA2!I20</f>
        <v>0</v>
      </c>
      <c r="J20" s="43">
        <f>Cornerstone!J21+SPOL!J20+Hamline!J20+BlueLine!J20+MPLSHOPWA1!J20+MPLSHOPWA2!J20+MPLSHOPWA2!J20</f>
        <v>0</v>
      </c>
      <c r="K20" s="43">
        <f>Cornerstone!K21+SPOL!K20+Hamline!K20+BlueLine!K20+MPLSHOPWA1!K20+MPLSHOPWA2!K20+MPLSHOPWA2!K20</f>
        <v>0</v>
      </c>
      <c r="L20" s="43">
        <f>Cornerstone!L21+SPOL!L20+Hamline!L20+BlueLine!L20+MPLSHOPWA1!L20+MPLSHOPWA2!L20+MPLSHOPWA2!L20</f>
        <v>0</v>
      </c>
      <c r="M20" s="43">
        <f>Cornerstone!M21+SPOL!M20+Hamline!M20+BlueLine!M20+MPLSHOPWA1!M20+MPLSHOPWA2!M20+MPLSHOPWA2!M20</f>
        <v>0</v>
      </c>
      <c r="N20" s="43">
        <f>Cornerstone!N21+SPOL!N20+Hamline!N20+BlueLine!N20+MPLSHOPWA1!N20+MPLSHOPWA2!N20+MPLSHOPWA2!N20</f>
        <v>0</v>
      </c>
      <c r="O20" s="43">
        <f>Cornerstone!O21+SPOL!O20+Hamline!O20+BlueLine!O20+MPLSHOPWA1!O20+MPLSHOPWA2!O20+MPLSHOPWA2!O20</f>
        <v>0</v>
      </c>
      <c r="P20" s="43">
        <f t="shared" ref="P20:P25" si="2">SUM(D20:O20)</f>
        <v>0</v>
      </c>
    </row>
    <row r="21" spans="1:17" x14ac:dyDescent="0.3">
      <c r="A21" s="1"/>
      <c r="B21" s="2" t="s">
        <v>96</v>
      </c>
      <c r="D21" s="43">
        <f>Cornerstone!D22+SPOL!D21+Hamline!D21+BlueLine!D21+MPLSHOPWA1!D21+MPLSHOPWA2!D21+MPLSHOPWA2!D21</f>
        <v>0</v>
      </c>
      <c r="E21" s="43">
        <f>Cornerstone!E22+SPOL!E21+Hamline!E21+BlueLine!E21+MPLSHOPWA1!E21+MPLSHOPWA2!E21+MPLSHOPWA2!E21</f>
        <v>0</v>
      </c>
      <c r="F21" s="43">
        <f>Cornerstone!F22+SPOL!F21+Hamline!F21+BlueLine!F21+MPLSHOPWA1!F21+MPLSHOPWA2!F21+MPLSHOPWA2!F21</f>
        <v>0</v>
      </c>
      <c r="G21" s="43">
        <f>Cornerstone!G22+SPOL!G21+Hamline!G21+BlueLine!G21+MPLSHOPWA1!G21+MPLSHOPWA2!G21+MPLSHOPWA2!G21</f>
        <v>0</v>
      </c>
      <c r="H21" s="43">
        <f>Cornerstone!H22+SPOL!H21+Hamline!H21+BlueLine!H21+MPLSHOPWA1!H21+MPLSHOPWA2!H21+MPLSHOPWA2!H21</f>
        <v>0</v>
      </c>
      <c r="I21" s="43">
        <f>Cornerstone!I22+SPOL!I21+Hamline!I21+BlueLine!I21+MPLSHOPWA1!I21+MPLSHOPWA2!I21+MPLSHOPWA2!I21</f>
        <v>0</v>
      </c>
      <c r="J21" s="43">
        <f>Cornerstone!J22+SPOL!J21+Hamline!J21+BlueLine!J21+MPLSHOPWA1!J21+MPLSHOPWA2!J21+MPLSHOPWA2!J21</f>
        <v>0</v>
      </c>
      <c r="K21" s="43">
        <f>Cornerstone!K22+SPOL!K21+Hamline!K21+BlueLine!K21+MPLSHOPWA1!K21+MPLSHOPWA2!K21+MPLSHOPWA2!K21</f>
        <v>0</v>
      </c>
      <c r="L21" s="43">
        <f>Cornerstone!L22+SPOL!L21+Hamline!L21+BlueLine!L21+MPLSHOPWA1!L21+MPLSHOPWA2!L21+MPLSHOPWA2!L21</f>
        <v>0</v>
      </c>
      <c r="M21" s="43">
        <f>Cornerstone!M22+SPOL!M21+Hamline!M21+BlueLine!M21+MPLSHOPWA1!M21+MPLSHOPWA2!M21+MPLSHOPWA2!M21</f>
        <v>0</v>
      </c>
      <c r="N21" s="43">
        <f>Cornerstone!N22+SPOL!N21+Hamline!N21+BlueLine!N21+MPLSHOPWA1!N21+MPLSHOPWA2!N21+MPLSHOPWA2!N21</f>
        <v>0</v>
      </c>
      <c r="O21" s="43">
        <f>Cornerstone!O22+SPOL!O21+Hamline!O21+BlueLine!O21+MPLSHOPWA1!O21+MPLSHOPWA2!O21+MPLSHOPWA2!O21</f>
        <v>0</v>
      </c>
      <c r="P21" s="43">
        <f t="shared" si="2"/>
        <v>0</v>
      </c>
    </row>
    <row r="22" spans="1:17" x14ac:dyDescent="0.3">
      <c r="A22" s="1"/>
      <c r="B22" s="2" t="s">
        <v>97</v>
      </c>
      <c r="D22" s="43">
        <f>Cornerstone!D23+SPOL!D22+Hamline!D22+BlueLine!D22+MPLSHOPWA1!D22+MPLSHOPWA2!D22+MPLSHOPWA2!D22</f>
        <v>0</v>
      </c>
      <c r="E22" s="43">
        <f>Cornerstone!E23+SPOL!E22+Hamline!E22+BlueLine!E22+MPLSHOPWA1!E22+MPLSHOPWA2!E22+MPLSHOPWA2!E22</f>
        <v>0</v>
      </c>
      <c r="F22" s="43">
        <f>Cornerstone!F23+SPOL!F22+Hamline!F22+BlueLine!F22+MPLSHOPWA1!F22+MPLSHOPWA2!F22+MPLSHOPWA2!F22</f>
        <v>0</v>
      </c>
      <c r="G22" s="43">
        <f>Cornerstone!G23+SPOL!G22+Hamline!G22+BlueLine!G22+MPLSHOPWA1!G22+MPLSHOPWA2!G22+MPLSHOPWA2!G22</f>
        <v>0</v>
      </c>
      <c r="H22" s="43">
        <f>Cornerstone!H23+SPOL!H22+Hamline!H22+BlueLine!H22+MPLSHOPWA1!H22+MPLSHOPWA2!H22+MPLSHOPWA2!H22</f>
        <v>0</v>
      </c>
      <c r="I22" s="43">
        <f>Cornerstone!I23+SPOL!I22+Hamline!I22+BlueLine!I22+MPLSHOPWA1!I22+MPLSHOPWA2!I22+MPLSHOPWA2!I22</f>
        <v>0</v>
      </c>
      <c r="J22" s="43">
        <f>Cornerstone!J23+SPOL!J22+Hamline!J22+BlueLine!J22+MPLSHOPWA1!J22+MPLSHOPWA2!J22+MPLSHOPWA2!J22</f>
        <v>0</v>
      </c>
      <c r="K22" s="43">
        <f>Cornerstone!K23+SPOL!K22+Hamline!K22+BlueLine!K22+MPLSHOPWA1!K22+MPLSHOPWA2!K22+MPLSHOPWA2!K22</f>
        <v>0</v>
      </c>
      <c r="L22" s="43">
        <f>Cornerstone!L23+SPOL!L22+Hamline!L22+BlueLine!L22+MPLSHOPWA1!L22+MPLSHOPWA2!L22+MPLSHOPWA2!L22</f>
        <v>0</v>
      </c>
      <c r="M22" s="43">
        <f>Cornerstone!M23+SPOL!M22+Hamline!M22+BlueLine!M22+MPLSHOPWA1!M22+MPLSHOPWA2!M22+MPLSHOPWA2!M22</f>
        <v>0</v>
      </c>
      <c r="N22" s="43">
        <f>Cornerstone!N23+SPOL!N22+Hamline!N22+BlueLine!N22+MPLSHOPWA1!N22+MPLSHOPWA2!N22+MPLSHOPWA2!N22</f>
        <v>0</v>
      </c>
      <c r="O22" s="43">
        <f>Cornerstone!O23+SPOL!O22+Hamline!O22+BlueLine!O22+MPLSHOPWA1!O22+MPLSHOPWA2!O22+MPLSHOPWA2!O22</f>
        <v>0</v>
      </c>
      <c r="P22" s="43">
        <f t="shared" si="2"/>
        <v>0</v>
      </c>
    </row>
    <row r="23" spans="1:17" x14ac:dyDescent="0.3">
      <c r="A23" s="1"/>
      <c r="B23" s="2" t="s">
        <v>13</v>
      </c>
      <c r="D23" s="43">
        <f>Cornerstone!D24+SPOL!D23+Hamline!D23+BlueLine!D23+MPLSHOPWA1!D23+MPLSHOPWA2!D23+MPLSHOPWA2!D23</f>
        <v>0</v>
      </c>
      <c r="E23" s="43">
        <f>Cornerstone!E24+SPOL!E23+Hamline!E23+BlueLine!E23+MPLSHOPWA1!E23+MPLSHOPWA2!E23+MPLSHOPWA2!E23</f>
        <v>0</v>
      </c>
      <c r="F23" s="43">
        <f>Cornerstone!F24+SPOL!F23+Hamline!F23+BlueLine!F23+MPLSHOPWA1!F23+MPLSHOPWA2!F23+MPLSHOPWA2!F23</f>
        <v>0</v>
      </c>
      <c r="G23" s="43">
        <f>Cornerstone!G24+SPOL!G23+Hamline!G23+BlueLine!G23+MPLSHOPWA1!G23+MPLSHOPWA2!G23+MPLSHOPWA2!G23</f>
        <v>0</v>
      </c>
      <c r="H23" s="43">
        <f>Cornerstone!H24+SPOL!H23+Hamline!H23+BlueLine!H23+MPLSHOPWA1!H23+MPLSHOPWA2!H23+MPLSHOPWA2!H23</f>
        <v>0</v>
      </c>
      <c r="I23" s="43">
        <f>Cornerstone!I24+SPOL!I23+Hamline!I23+BlueLine!I23+MPLSHOPWA1!I23+MPLSHOPWA2!I23+MPLSHOPWA2!I23</f>
        <v>0</v>
      </c>
      <c r="J23" s="43">
        <f>Cornerstone!J24+SPOL!J23+Hamline!J23+BlueLine!J23+MPLSHOPWA1!J23+MPLSHOPWA2!J23+MPLSHOPWA2!J23</f>
        <v>0</v>
      </c>
      <c r="K23" s="43">
        <f>Cornerstone!K24+SPOL!K23+Hamline!K23+BlueLine!K23+MPLSHOPWA1!K23+MPLSHOPWA2!K23+MPLSHOPWA2!K23</f>
        <v>0</v>
      </c>
      <c r="L23" s="43">
        <f>Cornerstone!L24+SPOL!L23+Hamline!L23+BlueLine!L23+MPLSHOPWA1!L23+MPLSHOPWA2!L23+MPLSHOPWA2!L23</f>
        <v>0</v>
      </c>
      <c r="M23" s="43">
        <f>Cornerstone!M24+SPOL!M23+Hamline!M23+BlueLine!M23+MPLSHOPWA1!M23+MPLSHOPWA2!M23+MPLSHOPWA2!M23</f>
        <v>0</v>
      </c>
      <c r="N23" s="43">
        <f>Cornerstone!N24+SPOL!N23+Hamline!N23+BlueLine!N23+MPLSHOPWA1!N23+MPLSHOPWA2!N23+MPLSHOPWA2!N23</f>
        <v>0</v>
      </c>
      <c r="O23" s="43">
        <f>Cornerstone!O24+SPOL!O23+Hamline!O23+BlueLine!O23+MPLSHOPWA1!O23+MPLSHOPWA2!O23+MPLSHOPWA2!O23</f>
        <v>0</v>
      </c>
      <c r="P23" s="43">
        <f t="shared" si="2"/>
        <v>0</v>
      </c>
    </row>
    <row r="24" spans="1:17" x14ac:dyDescent="0.3">
      <c r="A24" s="1"/>
      <c r="B24" s="2" t="s">
        <v>14</v>
      </c>
      <c r="D24" s="43">
        <f>Cornerstone!D25+SPOL!D24+Hamline!D24+BlueLine!D24+MPLSHOPWA1!D24+MPLSHOPWA2!D24+MPLSHOPWA2!D24</f>
        <v>0</v>
      </c>
      <c r="E24" s="43">
        <f>Cornerstone!E25+SPOL!E24+Hamline!E24+BlueLine!E24+MPLSHOPWA1!E24+MPLSHOPWA2!E24+MPLSHOPWA2!E24</f>
        <v>0</v>
      </c>
      <c r="F24" s="43">
        <f>Cornerstone!F25+SPOL!F24+Hamline!F24+BlueLine!F24+MPLSHOPWA1!F24+MPLSHOPWA2!F24+MPLSHOPWA2!F24</f>
        <v>0</v>
      </c>
      <c r="G24" s="43">
        <f>Cornerstone!G25+SPOL!G24+Hamline!G24+BlueLine!G24+MPLSHOPWA1!G24+MPLSHOPWA2!G24+MPLSHOPWA2!G24</f>
        <v>0</v>
      </c>
      <c r="H24" s="43">
        <f>Cornerstone!H25+SPOL!H24+Hamline!H24+BlueLine!H24+MPLSHOPWA1!H24+MPLSHOPWA2!H24+MPLSHOPWA2!H24</f>
        <v>0</v>
      </c>
      <c r="I24" s="43">
        <f>Cornerstone!I25+SPOL!I24+Hamline!I24+BlueLine!I24+MPLSHOPWA1!I24+MPLSHOPWA2!I24+MPLSHOPWA2!I24</f>
        <v>0</v>
      </c>
      <c r="J24" s="43">
        <f>Cornerstone!J25+SPOL!J24+Hamline!J24+BlueLine!J24+MPLSHOPWA1!J24+MPLSHOPWA2!J24+MPLSHOPWA2!J24</f>
        <v>0</v>
      </c>
      <c r="K24" s="43">
        <f>Cornerstone!K25+SPOL!K24+Hamline!K24+BlueLine!K24+MPLSHOPWA1!K24+MPLSHOPWA2!K24+MPLSHOPWA2!K24</f>
        <v>0</v>
      </c>
      <c r="L24" s="43">
        <f>Cornerstone!L25+SPOL!L24+Hamline!L24+BlueLine!L24+MPLSHOPWA1!L24+MPLSHOPWA2!L24+MPLSHOPWA2!L24</f>
        <v>0</v>
      </c>
      <c r="M24" s="43">
        <f>Cornerstone!M25+SPOL!M24+Hamline!M24+BlueLine!M24+MPLSHOPWA1!M24+MPLSHOPWA2!M24+MPLSHOPWA2!M24</f>
        <v>0</v>
      </c>
      <c r="N24" s="43">
        <f>Cornerstone!N25+SPOL!N24+Hamline!N24+BlueLine!N24+MPLSHOPWA1!N24+MPLSHOPWA2!N24+MPLSHOPWA2!N24</f>
        <v>0</v>
      </c>
      <c r="O24" s="43">
        <f>Cornerstone!O25+SPOL!O24+Hamline!O24+BlueLine!O24+MPLSHOPWA1!O24+MPLSHOPWA2!O24+MPLSHOPWA2!O24</f>
        <v>0</v>
      </c>
      <c r="P24" s="43">
        <f t="shared" si="2"/>
        <v>0</v>
      </c>
    </row>
    <row r="25" spans="1:17" x14ac:dyDescent="0.3">
      <c r="A25" s="1"/>
      <c r="B25" s="1"/>
      <c r="P25" s="43">
        <f t="shared" si="2"/>
        <v>0</v>
      </c>
    </row>
    <row r="26" spans="1:17" x14ac:dyDescent="0.3">
      <c r="A26" s="195" t="s">
        <v>15</v>
      </c>
      <c r="B26" s="195"/>
      <c r="D26" s="28">
        <f>SUM(D20:D25)</f>
        <v>0</v>
      </c>
      <c r="E26" s="28">
        <f t="shared" ref="E26:P26" si="3">SUM(E20:E25)</f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0</v>
      </c>
      <c r="K26" s="28">
        <f t="shared" si="3"/>
        <v>0</v>
      </c>
      <c r="L26" s="28">
        <f t="shared" si="3"/>
        <v>0</v>
      </c>
      <c r="M26" s="28">
        <f t="shared" si="3"/>
        <v>0</v>
      </c>
      <c r="N26" s="28">
        <f t="shared" si="3"/>
        <v>0</v>
      </c>
      <c r="O26" s="28">
        <f t="shared" si="3"/>
        <v>0</v>
      </c>
      <c r="P26" s="28">
        <f t="shared" si="3"/>
        <v>0</v>
      </c>
      <c r="Q26" s="29">
        <f>SUM(P20:P25)-P26</f>
        <v>0</v>
      </c>
    </row>
    <row r="27" spans="1:17" x14ac:dyDescent="0.3">
      <c r="A27" s="195" t="s">
        <v>16</v>
      </c>
      <c r="B27" s="195"/>
    </row>
    <row r="28" spans="1:17" x14ac:dyDescent="0.3">
      <c r="A28" s="2" t="s">
        <v>17</v>
      </c>
      <c r="B28" s="2" t="s">
        <v>18</v>
      </c>
      <c r="D28" s="43">
        <f>Cornerstone!D29+SPOL!D28+Hamline!D28+BlueLine!D28+MPLSHOPWA1!D28+MPLSHOPWA2!D28+MPLSHOPWA2!D28</f>
        <v>0</v>
      </c>
      <c r="E28" s="43">
        <f>Cornerstone!E29+SPOL!E28+Hamline!E28+BlueLine!E28+MPLSHOPWA1!E28+MPLSHOPWA2!E28+MPLSHOPWA2!E28</f>
        <v>0</v>
      </c>
      <c r="F28" s="43">
        <f>Cornerstone!F29+SPOL!F28+Hamline!F28+BlueLine!F28+MPLSHOPWA1!F28+MPLSHOPWA2!F28+MPLSHOPWA2!F28</f>
        <v>0</v>
      </c>
      <c r="G28" s="43">
        <f>Cornerstone!G29+SPOL!G28+Hamline!G28+BlueLine!G28+MPLSHOPWA1!G28+MPLSHOPWA2!G28+MPLSHOPWA2!G28</f>
        <v>0</v>
      </c>
      <c r="H28" s="43">
        <f>Cornerstone!H29+SPOL!H28+Hamline!H28+BlueLine!H28+MPLSHOPWA1!H28+MPLSHOPWA2!H28+MPLSHOPWA2!H28</f>
        <v>0</v>
      </c>
      <c r="I28" s="43">
        <f>Cornerstone!I29+SPOL!I28+Hamline!I28+BlueLine!I28+MPLSHOPWA1!I28+MPLSHOPWA2!I28+MPLSHOPWA2!I28</f>
        <v>0</v>
      </c>
      <c r="J28" s="43">
        <f>Cornerstone!J29+SPOL!J28+Hamline!J28+BlueLine!J28+MPLSHOPWA1!J28+MPLSHOPWA2!J28+MPLSHOPWA2!J28</f>
        <v>0</v>
      </c>
      <c r="K28" s="43">
        <f>Cornerstone!K29+SPOL!K28+Hamline!K28+BlueLine!K28+MPLSHOPWA1!K28+MPLSHOPWA2!K28+MPLSHOPWA2!K28</f>
        <v>0</v>
      </c>
      <c r="L28" s="43">
        <f>Cornerstone!L29+SPOL!L28+Hamline!L28+BlueLine!L28+MPLSHOPWA1!L28+MPLSHOPWA2!L28+MPLSHOPWA2!L28</f>
        <v>0</v>
      </c>
      <c r="M28" s="43">
        <f>Cornerstone!M29+SPOL!M28+Hamline!M28+BlueLine!M28+MPLSHOPWA1!M28+MPLSHOPWA2!M28+MPLSHOPWA2!M28</f>
        <v>0</v>
      </c>
      <c r="N28" s="43">
        <f>Cornerstone!N29+SPOL!N28+Hamline!N28+BlueLine!N28+MPLSHOPWA1!N28+MPLSHOPWA2!N28+MPLSHOPWA2!N28</f>
        <v>0</v>
      </c>
      <c r="O28" s="43">
        <f>Cornerstone!O29+SPOL!O28+Hamline!O28+BlueLine!O28+MPLSHOPWA1!O28+MPLSHOPWA2!O28+MPLSHOPWA2!O28</f>
        <v>0</v>
      </c>
      <c r="P28" s="43">
        <f>SUM(D28:O28)</f>
        <v>0</v>
      </c>
    </row>
    <row r="29" spans="1:17" x14ac:dyDescent="0.3">
      <c r="A29" s="2" t="s">
        <v>17</v>
      </c>
      <c r="B29" s="2" t="s">
        <v>19</v>
      </c>
      <c r="D29" s="43">
        <f>Cornerstone!D30+SPOL!D29+Hamline!D29+BlueLine!D29+MPLSHOPWA1!D29+MPLSHOPWA2!D29+MPLSHOPWA2!D29</f>
        <v>0</v>
      </c>
      <c r="E29" s="43">
        <f>Cornerstone!E30+SPOL!E29+Hamline!E29+BlueLine!E29+MPLSHOPWA1!E29+MPLSHOPWA2!E29+MPLSHOPWA2!E29</f>
        <v>0</v>
      </c>
      <c r="F29" s="43">
        <f>Cornerstone!F30+SPOL!F29+Hamline!F29+BlueLine!F29+MPLSHOPWA1!F29+MPLSHOPWA2!F29+MPLSHOPWA2!F29</f>
        <v>0</v>
      </c>
      <c r="G29" s="43">
        <f>Cornerstone!G30+SPOL!G29+Hamline!G29+BlueLine!G29+MPLSHOPWA1!G29+MPLSHOPWA2!G29+MPLSHOPWA2!G29</f>
        <v>0</v>
      </c>
      <c r="H29" s="43">
        <f>Cornerstone!H30+SPOL!H29+Hamline!H29+BlueLine!H29+MPLSHOPWA1!H29+MPLSHOPWA2!H29+MPLSHOPWA2!H29</f>
        <v>0</v>
      </c>
      <c r="I29" s="43">
        <f>Cornerstone!I30+SPOL!I29+Hamline!I29+BlueLine!I29+MPLSHOPWA1!I29+MPLSHOPWA2!I29+MPLSHOPWA2!I29</f>
        <v>0</v>
      </c>
      <c r="J29" s="43">
        <f>Cornerstone!J30+SPOL!J29+Hamline!J29+BlueLine!J29+MPLSHOPWA1!J29+MPLSHOPWA2!J29+MPLSHOPWA2!J29</f>
        <v>0</v>
      </c>
      <c r="K29" s="43">
        <f>Cornerstone!K30+SPOL!K29+Hamline!K29+BlueLine!K29+MPLSHOPWA1!K29+MPLSHOPWA2!K29+MPLSHOPWA2!K29</f>
        <v>0</v>
      </c>
      <c r="L29" s="43">
        <f>Cornerstone!L30+SPOL!L29+Hamline!L29+BlueLine!L29+MPLSHOPWA1!L29+MPLSHOPWA2!L29+MPLSHOPWA2!L29</f>
        <v>0</v>
      </c>
      <c r="M29" s="43">
        <f>Cornerstone!M30+SPOL!M29+Hamline!M29+BlueLine!M29+MPLSHOPWA1!M29+MPLSHOPWA2!M29+MPLSHOPWA2!M29</f>
        <v>0</v>
      </c>
      <c r="N29" s="43">
        <f>Cornerstone!N30+SPOL!N29+Hamline!N29+BlueLine!N29+MPLSHOPWA1!N29+MPLSHOPWA2!N29+MPLSHOPWA2!N29</f>
        <v>0</v>
      </c>
      <c r="O29" s="43">
        <f>Cornerstone!O30+SPOL!O29+Hamline!O29+BlueLine!O29+MPLSHOPWA1!O29+MPLSHOPWA2!O29+MPLSHOPWA2!O29</f>
        <v>0</v>
      </c>
      <c r="P29" s="43">
        <f>SUM(D29:O29)</f>
        <v>0</v>
      </c>
    </row>
    <row r="30" spans="1:17" x14ac:dyDescent="0.3">
      <c r="A30" s="2" t="s">
        <v>17</v>
      </c>
      <c r="B30" s="2" t="s">
        <v>20</v>
      </c>
      <c r="D30" s="43">
        <f>Cornerstone!D31+SPOL!D30+Hamline!D30+BlueLine!D30+MPLSHOPWA1!D30+MPLSHOPWA2!D30+MPLSHOPWA2!D30</f>
        <v>0</v>
      </c>
      <c r="E30" s="43">
        <f>Cornerstone!E31+SPOL!E30+Hamline!E30+BlueLine!E30+MPLSHOPWA1!E30+MPLSHOPWA2!E30+MPLSHOPWA2!E30</f>
        <v>0</v>
      </c>
      <c r="F30" s="43">
        <f>Cornerstone!F31+SPOL!F30+Hamline!F30+BlueLine!F30+MPLSHOPWA1!F30+MPLSHOPWA2!F30+MPLSHOPWA2!F30</f>
        <v>0</v>
      </c>
      <c r="G30" s="43">
        <f>Cornerstone!G31+SPOL!G30+Hamline!G30+BlueLine!G30+MPLSHOPWA1!G30+MPLSHOPWA2!G30+MPLSHOPWA2!G30</f>
        <v>0</v>
      </c>
      <c r="H30" s="43">
        <f>Cornerstone!H31+SPOL!H30+Hamline!H30+BlueLine!H30+MPLSHOPWA1!H30+MPLSHOPWA2!H30+MPLSHOPWA2!H30</f>
        <v>0</v>
      </c>
      <c r="I30" s="43">
        <f>Cornerstone!I31+SPOL!I30+Hamline!I30+BlueLine!I30+MPLSHOPWA1!I30+MPLSHOPWA2!I30+MPLSHOPWA2!I30</f>
        <v>0</v>
      </c>
      <c r="J30" s="43">
        <f>Cornerstone!J31+SPOL!J30+Hamline!J30+BlueLine!J30+MPLSHOPWA1!J30+MPLSHOPWA2!J30+MPLSHOPWA2!J30</f>
        <v>0</v>
      </c>
      <c r="K30" s="43">
        <f>Cornerstone!K31+SPOL!K30+Hamline!K30+BlueLine!K30+MPLSHOPWA1!K30+MPLSHOPWA2!K30+MPLSHOPWA2!K30</f>
        <v>0</v>
      </c>
      <c r="L30" s="43">
        <f>Cornerstone!L31+SPOL!L30+Hamline!L30+BlueLine!L30+MPLSHOPWA1!L30+MPLSHOPWA2!L30+MPLSHOPWA2!L30</f>
        <v>0</v>
      </c>
      <c r="M30" s="43">
        <f>Cornerstone!M31+SPOL!M30+Hamline!M30+BlueLine!M30+MPLSHOPWA1!M30+MPLSHOPWA2!M30+MPLSHOPWA2!M30</f>
        <v>0</v>
      </c>
      <c r="N30" s="43">
        <f>Cornerstone!N31+SPOL!N30+Hamline!N30+BlueLine!N30+MPLSHOPWA1!N30+MPLSHOPWA2!N30+MPLSHOPWA2!N30</f>
        <v>0</v>
      </c>
      <c r="O30" s="43">
        <f>Cornerstone!O31+SPOL!O30+Hamline!O30+BlueLine!O30+MPLSHOPWA1!O30+MPLSHOPWA2!O30+MPLSHOPWA2!O30</f>
        <v>0</v>
      </c>
      <c r="P30" s="43">
        <f>SUM(D30:O30)</f>
        <v>0</v>
      </c>
    </row>
    <row r="31" spans="1:17" x14ac:dyDescent="0.3">
      <c r="A31" s="2" t="s">
        <v>17</v>
      </c>
      <c r="B31" s="2" t="s">
        <v>21</v>
      </c>
      <c r="D31" s="43">
        <f>Cornerstone!D32+SPOL!D31+Hamline!D31+BlueLine!D31+MPLSHOPWA1!D31+MPLSHOPWA2!D31+MPLSHOPWA2!D31</f>
        <v>0</v>
      </c>
      <c r="E31" s="43">
        <f>Cornerstone!E32+SPOL!E31+Hamline!E31+BlueLine!E31+MPLSHOPWA1!E31+MPLSHOPWA2!E31+MPLSHOPWA2!E31</f>
        <v>0</v>
      </c>
      <c r="F31" s="43">
        <f>Cornerstone!F32+SPOL!F31+Hamline!F31+BlueLine!F31+MPLSHOPWA1!F31+MPLSHOPWA2!F31+MPLSHOPWA2!F31</f>
        <v>0</v>
      </c>
      <c r="G31" s="43">
        <f>Cornerstone!G32+SPOL!G31+Hamline!G31+BlueLine!G31+MPLSHOPWA1!G31+MPLSHOPWA2!G31+MPLSHOPWA2!G31</f>
        <v>0</v>
      </c>
      <c r="H31" s="43">
        <f>Cornerstone!H32+SPOL!H31+Hamline!H31+BlueLine!H31+MPLSHOPWA1!H31+MPLSHOPWA2!H31+MPLSHOPWA2!H31</f>
        <v>0</v>
      </c>
      <c r="I31" s="43">
        <f>Cornerstone!I32+SPOL!I31+Hamline!I31+BlueLine!I31+MPLSHOPWA1!I31+MPLSHOPWA2!I31+MPLSHOPWA2!I31</f>
        <v>0</v>
      </c>
      <c r="J31" s="43">
        <f>Cornerstone!J32+SPOL!J31+Hamline!J31+BlueLine!J31+MPLSHOPWA1!J31+MPLSHOPWA2!J31+MPLSHOPWA2!J31</f>
        <v>0</v>
      </c>
      <c r="K31" s="43">
        <f>Cornerstone!K32+SPOL!K31+Hamline!K31+BlueLine!K31+MPLSHOPWA1!K31+MPLSHOPWA2!K31+MPLSHOPWA2!K31</f>
        <v>0</v>
      </c>
      <c r="L31" s="43">
        <f>Cornerstone!L32+SPOL!L31+Hamline!L31+BlueLine!L31+MPLSHOPWA1!L31+MPLSHOPWA2!L31+MPLSHOPWA2!L31</f>
        <v>0</v>
      </c>
      <c r="M31" s="43">
        <f>Cornerstone!M32+SPOL!M31+Hamline!M31+BlueLine!M31+MPLSHOPWA1!M31+MPLSHOPWA2!M31+MPLSHOPWA2!M31</f>
        <v>0</v>
      </c>
      <c r="N31" s="43">
        <f>Cornerstone!N32+SPOL!N31+Hamline!N31+BlueLine!N31+MPLSHOPWA1!N31+MPLSHOPWA2!N31+MPLSHOPWA2!N31</f>
        <v>0</v>
      </c>
      <c r="O31" s="43">
        <f>Cornerstone!O32+SPOL!O31+Hamline!O31+BlueLine!O31+MPLSHOPWA1!O31+MPLSHOPWA2!O31+MPLSHOPWA2!O31</f>
        <v>0</v>
      </c>
      <c r="P31" s="43">
        <f>SUM(D31:O31)</f>
        <v>0</v>
      </c>
    </row>
    <row r="32" spans="1:17" x14ac:dyDescent="0.3">
      <c r="A32" s="1"/>
      <c r="B32" s="1"/>
      <c r="D32" s="30">
        <f>D12+D18+D26+D28+D29+D30+D31</f>
        <v>56252.11</v>
      </c>
      <c r="E32" s="30">
        <f t="shared" ref="E32:P32" si="4">E12+E18+E26+E28+E29+E30+E31</f>
        <v>50658.68</v>
      </c>
      <c r="F32" s="30">
        <f t="shared" si="4"/>
        <v>51277.61</v>
      </c>
      <c r="G32" s="30">
        <f t="shared" si="4"/>
        <v>51071.3</v>
      </c>
      <c r="H32" s="30">
        <f t="shared" si="4"/>
        <v>51277.61</v>
      </c>
      <c r="I32" s="30">
        <f t="shared" si="4"/>
        <v>51071.3</v>
      </c>
      <c r="J32" s="30">
        <f t="shared" si="4"/>
        <v>54494.11</v>
      </c>
      <c r="K32" s="30">
        <f t="shared" si="4"/>
        <v>53035.61</v>
      </c>
      <c r="L32" s="30">
        <f t="shared" si="4"/>
        <v>50778.3</v>
      </c>
      <c r="M32" s="30">
        <f t="shared" si="4"/>
        <v>50984.61</v>
      </c>
      <c r="N32" s="30">
        <f t="shared" si="4"/>
        <v>50778.3</v>
      </c>
      <c r="O32" s="30">
        <f t="shared" si="4"/>
        <v>50984.61</v>
      </c>
      <c r="P32" s="30">
        <f t="shared" si="4"/>
        <v>622664.15</v>
      </c>
      <c r="Q32" s="29">
        <f>SUM(P28:P31)*P32</f>
        <v>0</v>
      </c>
    </row>
    <row r="33" spans="1:17" x14ac:dyDescent="0.3">
      <c r="A33" s="1"/>
      <c r="B33" s="1"/>
    </row>
    <row r="34" spans="1:17" x14ac:dyDescent="0.3">
      <c r="A34" s="195" t="s">
        <v>22</v>
      </c>
      <c r="B34" s="195"/>
    </row>
    <row r="35" spans="1:17" x14ac:dyDescent="0.3">
      <c r="A35" s="1"/>
      <c r="B35" s="2" t="s">
        <v>23</v>
      </c>
      <c r="D35" s="43">
        <f>Cornerstone!D36+SPOL!D35+Hamline!D35+BlueLine!D35+MPLSHOPWA1!D35+MPLSHOPWA2!D35+MPLSHOPWA2!D35</f>
        <v>10166.8704</v>
      </c>
      <c r="E35" s="43">
        <f>Cornerstone!E36+SPOL!E35+Hamline!E35+BlueLine!E35+MPLSHOPWA1!E35+MPLSHOPWA2!E35+MPLSHOPWA2!E35</f>
        <v>10166.8704</v>
      </c>
      <c r="F35" s="43">
        <f>Cornerstone!F36+SPOL!F35+Hamline!F35+BlueLine!F35+MPLSHOPWA1!F35+MPLSHOPWA2!F35+MPLSHOPWA2!F35</f>
        <v>15250.3056</v>
      </c>
      <c r="G35" s="43">
        <f>Cornerstone!G36+SPOL!G35+Hamline!G35+BlueLine!G35+MPLSHOPWA1!G35+MPLSHOPWA2!G35+MPLSHOPWA2!G35</f>
        <v>10166.8704</v>
      </c>
      <c r="H35" s="43">
        <f>Cornerstone!H36+SPOL!H35+Hamline!H35+BlueLine!H35+MPLSHOPWA1!H35+MPLSHOPWA2!H35+MPLSHOPWA2!H35</f>
        <v>10166.8704</v>
      </c>
      <c r="I35" s="43">
        <f>Cornerstone!I36+SPOL!I35+Hamline!I35+BlueLine!I35+MPLSHOPWA1!I35+MPLSHOPWA2!I35+MPLSHOPWA2!I35</f>
        <v>10166.8704</v>
      </c>
      <c r="J35" s="43">
        <f>Cornerstone!J36+SPOL!J35+Hamline!J35+BlueLine!J35+MPLSHOPWA1!J35+MPLSHOPWA2!J35+MPLSHOPWA2!J35</f>
        <v>10166.8704</v>
      </c>
      <c r="K35" s="43">
        <f>Cornerstone!K36+SPOL!K35+Hamline!K35+BlueLine!K35+MPLSHOPWA1!K35+MPLSHOPWA2!K35+MPLSHOPWA2!K35</f>
        <v>15250.3056</v>
      </c>
      <c r="L35" s="43">
        <f>Cornerstone!L36+SPOL!L35+Hamline!L35+BlueLine!L35+MPLSHOPWA1!L35+MPLSHOPWA2!L35+MPLSHOPWA2!L35</f>
        <v>10166.8704</v>
      </c>
      <c r="M35" s="43">
        <f>Cornerstone!M36+SPOL!M35+Hamline!M35+BlueLine!M35+MPLSHOPWA1!M35+MPLSHOPWA2!M35+MPLSHOPWA2!M35</f>
        <v>10166.8704</v>
      </c>
      <c r="N35" s="43">
        <f>Cornerstone!N36+SPOL!N35+Hamline!N35+BlueLine!N35+MPLSHOPWA1!N35+MPLSHOPWA2!N35+MPLSHOPWA2!N35</f>
        <v>10166.8704</v>
      </c>
      <c r="O35" s="43">
        <f>Cornerstone!O36+SPOL!O35+Hamline!O35+BlueLine!O35+MPLSHOPWA1!O35+MPLSHOPWA2!O35+MPLSHOPWA2!O35</f>
        <v>10166.8704</v>
      </c>
      <c r="P35" s="43">
        <f>SUM(D35:O35)</f>
        <v>132169.31520000001</v>
      </c>
    </row>
    <row r="36" spans="1:17" x14ac:dyDescent="0.3">
      <c r="A36" s="1"/>
      <c r="B36" s="2" t="s">
        <v>24</v>
      </c>
      <c r="D36" s="43">
        <f>Cornerstone!D37+SPOL!D36+Hamline!D36+BlueLine!D36+MPLSHOPWA1!D36+MPLSHOPWA2!D36+MPLSHOPWA2!D36</f>
        <v>747.26497440000003</v>
      </c>
      <c r="E36" s="43">
        <f>Cornerstone!E37+SPOL!E36+Hamline!E36+BlueLine!E36+MPLSHOPWA1!E36+MPLSHOPWA2!E36+MPLSHOPWA2!E36</f>
        <v>747.26497440000003</v>
      </c>
      <c r="F36" s="43">
        <f>Cornerstone!F37+SPOL!F36+Hamline!F36+BlueLine!F36+MPLSHOPWA1!F36+MPLSHOPWA2!F36+MPLSHOPWA2!F36</f>
        <v>1120.8974616</v>
      </c>
      <c r="G36" s="43">
        <f>Cornerstone!G37+SPOL!G36+Hamline!G36+BlueLine!G36+MPLSHOPWA1!G36+MPLSHOPWA2!G36+MPLSHOPWA2!G36</f>
        <v>747.26497440000003</v>
      </c>
      <c r="H36" s="43">
        <f>Cornerstone!H37+SPOL!H36+Hamline!H36+BlueLine!H36+MPLSHOPWA1!H36+MPLSHOPWA2!H36+MPLSHOPWA2!H36</f>
        <v>747.26497440000003</v>
      </c>
      <c r="I36" s="43">
        <f>Cornerstone!I37+SPOL!I36+Hamline!I36+BlueLine!I36+MPLSHOPWA1!I36+MPLSHOPWA2!I36+MPLSHOPWA2!I36</f>
        <v>747.26497440000003</v>
      </c>
      <c r="J36" s="43">
        <f>Cornerstone!J37+SPOL!J36+Hamline!J36+BlueLine!J36+MPLSHOPWA1!J36+MPLSHOPWA2!J36+MPLSHOPWA2!J36</f>
        <v>747.26497440000003</v>
      </c>
      <c r="K36" s="43">
        <f>Cornerstone!K37+SPOL!K36+Hamline!K36+BlueLine!K36+MPLSHOPWA1!K36+MPLSHOPWA2!K36+MPLSHOPWA2!K36</f>
        <v>1120.8974616</v>
      </c>
      <c r="L36" s="43">
        <f>Cornerstone!L37+SPOL!L36+Hamline!L36+BlueLine!L36+MPLSHOPWA1!L36+MPLSHOPWA2!L36+MPLSHOPWA2!L36</f>
        <v>747.26497440000003</v>
      </c>
      <c r="M36" s="43">
        <f>Cornerstone!M37+SPOL!M36+Hamline!M36+BlueLine!M36+MPLSHOPWA1!M36+MPLSHOPWA2!M36+MPLSHOPWA2!M36</f>
        <v>747.26497440000003</v>
      </c>
      <c r="N36" s="43">
        <f>Cornerstone!N37+SPOL!N36+Hamline!N36+BlueLine!N36+MPLSHOPWA1!N36+MPLSHOPWA2!N36+MPLSHOPWA2!N36</f>
        <v>747.26497440000003</v>
      </c>
      <c r="O36" s="43">
        <f>Cornerstone!O37+SPOL!O36+Hamline!O36+BlueLine!O36+MPLSHOPWA1!O36+MPLSHOPWA2!O36+MPLSHOPWA2!O36</f>
        <v>747.26497440000003</v>
      </c>
      <c r="P36" s="43">
        <f t="shared" ref="P36:P42" si="5">SUM(D36:O36)</f>
        <v>9714.4446672000013</v>
      </c>
    </row>
    <row r="37" spans="1:17" x14ac:dyDescent="0.3">
      <c r="A37" s="1"/>
      <c r="B37" s="2" t="s">
        <v>25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f t="shared" si="5"/>
        <v>0</v>
      </c>
    </row>
    <row r="38" spans="1:17" x14ac:dyDescent="0.3">
      <c r="A38" s="1"/>
      <c r="B38" s="2" t="s">
        <v>26</v>
      </c>
      <c r="D38" s="43">
        <f>Cornerstone!D39+SPOL!D38+Hamline!D38+BlueLine!D38+MPLSHOPWA1!D38+MPLSHOPWA2!D38+MPLSHOPWA2!D38</f>
        <v>1224.2945335680001</v>
      </c>
      <c r="E38" s="43">
        <f>Cornerstone!E39+SPOL!E38+Hamline!E38+BlueLine!E38+MPLSHOPWA1!E38+MPLSHOPWA2!E38+MPLSHOPWA2!E38</f>
        <v>1224.3047004384</v>
      </c>
      <c r="F38" s="43">
        <f>Cornerstone!F39+SPOL!F38+Hamline!F38+BlueLine!F38+MPLSHOPWA1!F38+MPLSHOPWA2!F38+MPLSHOPWA2!F38</f>
        <v>1836.4570506576001</v>
      </c>
      <c r="G38" s="43">
        <f>Cornerstone!G39+SPOL!G38+Hamline!G38+BlueLine!G38+MPLSHOPWA1!G38+MPLSHOPWA2!G38+MPLSHOPWA2!G38</f>
        <v>1224.3047004384</v>
      </c>
      <c r="H38" s="43">
        <f>Cornerstone!H39+SPOL!H38+Hamline!H38+BlueLine!H38+MPLSHOPWA1!H38+MPLSHOPWA2!H38+MPLSHOPWA2!H38</f>
        <v>1224.3047004384</v>
      </c>
      <c r="I38" s="43">
        <f>Cornerstone!I39+SPOL!I38+Hamline!I38+BlueLine!I38+MPLSHOPWA1!I38+MPLSHOPWA2!I38+MPLSHOPWA2!I38</f>
        <v>1224.3047004384</v>
      </c>
      <c r="J38" s="43">
        <f>Cornerstone!J39+SPOL!J38+Hamline!J38+BlueLine!J38+MPLSHOPWA1!J38+MPLSHOPWA2!J38+MPLSHOPWA2!J38</f>
        <v>1224.3047004384</v>
      </c>
      <c r="K38" s="43">
        <f>Cornerstone!K39+SPOL!K38+Hamline!K38+BlueLine!K38+MPLSHOPWA1!K38+MPLSHOPWA2!K38+MPLSHOPWA2!K38</f>
        <v>1836.4570506576001</v>
      </c>
      <c r="L38" s="43">
        <f>Cornerstone!L39+SPOL!L38+Hamline!L38+BlueLine!L38+MPLSHOPWA1!L38+MPLSHOPWA2!L38+MPLSHOPWA2!L38</f>
        <v>1224.3047004384</v>
      </c>
      <c r="M38" s="43">
        <f>Cornerstone!M39+SPOL!M38+Hamline!M38+BlueLine!M38+MPLSHOPWA1!M38+MPLSHOPWA2!M38+MPLSHOPWA2!M38</f>
        <v>1224.3047004384</v>
      </c>
      <c r="N38" s="43">
        <f>Cornerstone!N39+SPOL!N38+Hamline!N38+BlueLine!N38+MPLSHOPWA1!N38+MPLSHOPWA2!N38+MPLSHOPWA2!N38</f>
        <v>1224.3047004384</v>
      </c>
      <c r="O38" s="43">
        <f>Cornerstone!O39+SPOL!O38+Hamline!O38+BlueLine!O38+MPLSHOPWA1!O38+MPLSHOPWA2!O38+MPLSHOPWA2!O38</f>
        <v>1224.3047004384</v>
      </c>
      <c r="P38" s="43">
        <f t="shared" si="5"/>
        <v>15915.950938828802</v>
      </c>
    </row>
    <row r="39" spans="1:17" x14ac:dyDescent="0.3">
      <c r="A39" s="1"/>
      <c r="B39" s="2" t="s">
        <v>27</v>
      </c>
      <c r="D39" s="43">
        <f>Cornerstone!D40+SPOL!D39+Hamline!D39+BlueLine!D39+MPLSHOPWA1!D39+MPLSHOPWA2!D39+MPLSHOPWA2!D39</f>
        <v>113.86894848</v>
      </c>
      <c r="E39" s="43">
        <f>Cornerstone!E40+SPOL!E39+Hamline!E39+BlueLine!E39+MPLSHOPWA1!E39+MPLSHOPWA2!E39+MPLSHOPWA2!E39</f>
        <v>113.86894848</v>
      </c>
      <c r="F39" s="43">
        <f>Cornerstone!F40+SPOL!F39+Hamline!F39+BlueLine!F39+MPLSHOPWA1!F39+MPLSHOPWA2!F39+MPLSHOPWA2!F39</f>
        <v>170.80342272000001</v>
      </c>
      <c r="G39" s="43">
        <f>Cornerstone!G40+SPOL!G39+Hamline!G39+BlueLine!G39+MPLSHOPWA1!G39+MPLSHOPWA2!G39+MPLSHOPWA2!G39</f>
        <v>113.86894848</v>
      </c>
      <c r="H39" s="43">
        <f>Cornerstone!H40+SPOL!H39+Hamline!H39+BlueLine!H39+MPLSHOPWA1!H39+MPLSHOPWA2!H39+MPLSHOPWA2!H39</f>
        <v>113.86894848</v>
      </c>
      <c r="I39" s="43">
        <f>Cornerstone!I40+SPOL!I39+Hamline!I39+BlueLine!I39+MPLSHOPWA1!I39+MPLSHOPWA2!I39+MPLSHOPWA2!I39</f>
        <v>113.86894848</v>
      </c>
      <c r="J39" s="43">
        <f>Cornerstone!J40+SPOL!J39+Hamline!J39+BlueLine!J39+MPLSHOPWA1!J39+MPLSHOPWA2!J39+MPLSHOPWA2!J39</f>
        <v>113.86894848</v>
      </c>
      <c r="K39" s="43">
        <f>Cornerstone!K40+SPOL!K39+Hamline!K39+BlueLine!K39+MPLSHOPWA1!K39+MPLSHOPWA2!K39+MPLSHOPWA2!K39</f>
        <v>170.80342272000001</v>
      </c>
      <c r="L39" s="43">
        <f>Cornerstone!L40+SPOL!L39+Hamline!L39+BlueLine!L39+MPLSHOPWA1!L39+MPLSHOPWA2!L39+MPLSHOPWA2!L39</f>
        <v>113.86894848</v>
      </c>
      <c r="M39" s="43">
        <f>Cornerstone!M40+SPOL!M39+Hamline!M39+BlueLine!M39+MPLSHOPWA1!M39+MPLSHOPWA2!M39+MPLSHOPWA2!M39</f>
        <v>113.86894848</v>
      </c>
      <c r="N39" s="43">
        <f>Cornerstone!N40+SPOL!N39+Hamline!N39+BlueLine!N39+MPLSHOPWA1!N39+MPLSHOPWA2!N39+MPLSHOPWA2!N39</f>
        <v>113.86894848</v>
      </c>
      <c r="O39" s="43">
        <f>Cornerstone!O40+SPOL!O39+Hamline!O39+BlueLine!O39+MPLSHOPWA1!O39+MPLSHOPWA2!O39+MPLSHOPWA2!O39</f>
        <v>113.86894848</v>
      </c>
      <c r="P39" s="43">
        <f t="shared" si="5"/>
        <v>1480.2963302399999</v>
      </c>
    </row>
    <row r="40" spans="1:17" x14ac:dyDescent="0.3">
      <c r="A40" s="1"/>
      <c r="B40" s="2" t="s">
        <v>28</v>
      </c>
      <c r="D40" s="43">
        <f>Cornerstone!D41+SPOL!D40+Hamline!D40+BlueLine!D40+MPLSHOPWA1!D40+MPLSHOPWA2!D40+MPLSHOPWA2!D40</f>
        <v>284.67237120000004</v>
      </c>
      <c r="E40" s="43">
        <f>Cornerstone!E41+SPOL!E40+Hamline!E40+BlueLine!E40+MPLSHOPWA1!E40+MPLSHOPWA2!E40+MPLSHOPWA2!E40</f>
        <v>284.67237120000004</v>
      </c>
      <c r="F40" s="43">
        <f>Cornerstone!F41+SPOL!F40+Hamline!F40+BlueLine!F40+MPLSHOPWA1!F40+MPLSHOPWA2!F40+MPLSHOPWA2!F40</f>
        <v>427.00855680000006</v>
      </c>
      <c r="G40" s="43">
        <f>Cornerstone!G41+SPOL!G40+Hamline!G40+BlueLine!G40+MPLSHOPWA1!G40+MPLSHOPWA2!G40+MPLSHOPWA2!G40</f>
        <v>284.67237120000004</v>
      </c>
      <c r="H40" s="43">
        <f>Cornerstone!H41+SPOL!H40+Hamline!H40+BlueLine!H40+MPLSHOPWA1!H40+MPLSHOPWA2!H40+MPLSHOPWA2!H40</f>
        <v>284.67237120000004</v>
      </c>
      <c r="I40" s="43">
        <f>Cornerstone!I41+SPOL!I40+Hamline!I40+BlueLine!I40+MPLSHOPWA1!I40+MPLSHOPWA2!I40+MPLSHOPWA2!I40</f>
        <v>284.67237120000004</v>
      </c>
      <c r="J40" s="43">
        <f>Cornerstone!J41+SPOL!J40+Hamline!J40+BlueLine!J40+MPLSHOPWA1!J40+MPLSHOPWA2!J40+MPLSHOPWA2!J40</f>
        <v>284.67237120000004</v>
      </c>
      <c r="K40" s="43">
        <f>Cornerstone!K41+SPOL!K40+Hamline!K40+BlueLine!K40+MPLSHOPWA1!K40+MPLSHOPWA2!K40+MPLSHOPWA2!K40</f>
        <v>427.00855680000006</v>
      </c>
      <c r="L40" s="43">
        <f>Cornerstone!L41+SPOL!L40+Hamline!L40+BlueLine!L40+MPLSHOPWA1!L40+MPLSHOPWA2!L40+MPLSHOPWA2!L40</f>
        <v>284.67237120000004</v>
      </c>
      <c r="M40" s="43">
        <f>Cornerstone!M41+SPOL!M40+Hamline!M40+BlueLine!M40+MPLSHOPWA1!M40+MPLSHOPWA2!M40+MPLSHOPWA2!M40</f>
        <v>284.67237120000004</v>
      </c>
      <c r="N40" s="43">
        <f>Cornerstone!N41+SPOL!N40+Hamline!N40+BlueLine!N40+MPLSHOPWA1!N40+MPLSHOPWA2!N40+MPLSHOPWA2!N40</f>
        <v>284.67237120000004</v>
      </c>
      <c r="O40" s="43">
        <f>Cornerstone!O41+SPOL!O40+Hamline!O40+BlueLine!O40+MPLSHOPWA1!O40+MPLSHOPWA2!O40+MPLSHOPWA2!O40</f>
        <v>284.67237120000004</v>
      </c>
      <c r="P40" s="43">
        <f t="shared" si="5"/>
        <v>3700.7408256000008</v>
      </c>
    </row>
    <row r="41" spans="1:17" x14ac:dyDescent="0.3">
      <c r="A41" s="1"/>
      <c r="B41" s="2" t="s">
        <v>29</v>
      </c>
      <c r="D41" s="43">
        <f>Cornerstone!D42+SPOL!D41+Hamline!D41+BlueLine!D41+MPLSHOPWA1!D41+MPLSHOPWA2!D41+MPLSHOPWA2!D41</f>
        <v>139.59113059200001</v>
      </c>
      <c r="E41" s="43">
        <f>Cornerstone!E42+SPOL!E41+Hamline!E41+BlueLine!E41+MPLSHOPWA1!E41+MPLSHOPWA2!E41+MPLSHOPWA2!E41</f>
        <v>139.59113059200001</v>
      </c>
      <c r="F41" s="43">
        <f>Cornerstone!F42+SPOL!F41+Hamline!F41+BlueLine!F41+MPLSHOPWA1!F41+MPLSHOPWA2!F41+MPLSHOPWA2!F41</f>
        <v>209.38669588800002</v>
      </c>
      <c r="G41" s="43">
        <f>Cornerstone!G42+SPOL!G41+Hamline!G41+BlueLine!G41+MPLSHOPWA1!G41+MPLSHOPWA2!G41+MPLSHOPWA2!G41</f>
        <v>139.59113059200001</v>
      </c>
      <c r="H41" s="43">
        <f>Cornerstone!H42+SPOL!H41+Hamline!H41+BlueLine!H41+MPLSHOPWA1!H41+MPLSHOPWA2!H41+MPLSHOPWA2!H41</f>
        <v>139.59113059200001</v>
      </c>
      <c r="I41" s="43">
        <f>Cornerstone!I42+SPOL!I41+Hamline!I41+BlueLine!I41+MPLSHOPWA1!I41+MPLSHOPWA2!I41+MPLSHOPWA2!I41</f>
        <v>139.59113059200001</v>
      </c>
      <c r="J41" s="43">
        <f>Cornerstone!J42+SPOL!J41+Hamline!J41+BlueLine!J41+MPLSHOPWA1!J41+MPLSHOPWA2!J41+MPLSHOPWA2!J41</f>
        <v>139.59113059200001</v>
      </c>
      <c r="K41" s="43">
        <f>Cornerstone!K42+SPOL!K41+Hamline!K41+BlueLine!K41+MPLSHOPWA1!K41+MPLSHOPWA2!K41+MPLSHOPWA2!K41</f>
        <v>209.38669588800002</v>
      </c>
      <c r="L41" s="43">
        <f>Cornerstone!L42+SPOL!L41+Hamline!L41+BlueLine!L41+MPLSHOPWA1!L41+MPLSHOPWA2!L41+MPLSHOPWA2!L41</f>
        <v>139.59113059200001</v>
      </c>
      <c r="M41" s="43">
        <f>Cornerstone!M42+SPOL!M41+Hamline!M41+BlueLine!M41+MPLSHOPWA1!M41+MPLSHOPWA2!M41+MPLSHOPWA2!M41</f>
        <v>139.59113059200001</v>
      </c>
      <c r="N41" s="43">
        <f>Cornerstone!N42+SPOL!N41+Hamline!N41+BlueLine!N41+MPLSHOPWA1!N41+MPLSHOPWA2!N41+MPLSHOPWA2!N41</f>
        <v>139.59113059200001</v>
      </c>
      <c r="O41" s="43">
        <f>Cornerstone!O42+SPOL!O41+Hamline!O41+BlueLine!O41+MPLSHOPWA1!O41+MPLSHOPWA2!O41+MPLSHOPWA2!O41</f>
        <v>139.59113059200001</v>
      </c>
      <c r="P41" s="43">
        <f t="shared" si="5"/>
        <v>1814.6846976960001</v>
      </c>
    </row>
    <row r="42" spans="1:17" x14ac:dyDescent="0.3">
      <c r="A42" s="1"/>
      <c r="B42" s="2" t="s">
        <v>30</v>
      </c>
      <c r="D42" s="43">
        <f>Cornerstone!D43+SPOL!D42+Hamline!D42+BlueLine!D42+MPLSHOPWA1!D42+MPLSHOPWA2!D42+MPLSHOPWA2!D42</f>
        <v>0</v>
      </c>
      <c r="E42" s="43">
        <f>Cornerstone!E43+SPOL!E42+Hamline!E42+BlueLine!E42+MPLSHOPWA1!E42+MPLSHOPWA2!E42+MPLSHOPWA2!E42</f>
        <v>0</v>
      </c>
      <c r="F42" s="43">
        <f>Cornerstone!F43+SPOL!F42+Hamline!F42+BlueLine!F42+MPLSHOPWA1!F42+MPLSHOPWA2!F42+MPLSHOPWA2!F42</f>
        <v>0</v>
      </c>
      <c r="G42" s="43">
        <f>Cornerstone!G43+SPOL!G42+Hamline!G42+BlueLine!G42+MPLSHOPWA1!G42+MPLSHOPWA2!G42+MPLSHOPWA2!G42</f>
        <v>0</v>
      </c>
      <c r="H42" s="43">
        <f>Cornerstone!H43+SPOL!H42+Hamline!H42+BlueLine!H42+MPLSHOPWA1!H42+MPLSHOPWA2!H42+MPLSHOPWA2!H42</f>
        <v>0</v>
      </c>
      <c r="I42" s="43">
        <f>Cornerstone!I43+SPOL!I42+Hamline!I42+BlueLine!I42+MPLSHOPWA1!I42+MPLSHOPWA2!I42+MPLSHOPWA2!I42</f>
        <v>0</v>
      </c>
      <c r="J42" s="43">
        <f>Cornerstone!J43+SPOL!J42+Hamline!J42+BlueLine!J42+MPLSHOPWA1!J42+MPLSHOPWA2!J42+MPLSHOPWA2!J42</f>
        <v>0</v>
      </c>
      <c r="K42" s="43">
        <f>Cornerstone!K43+SPOL!K42+Hamline!K42+BlueLine!K42+MPLSHOPWA1!K42+MPLSHOPWA2!K42+MPLSHOPWA2!K42</f>
        <v>0</v>
      </c>
      <c r="L42" s="43">
        <f>Cornerstone!L43+SPOL!L42+Hamline!L42+BlueLine!L42+MPLSHOPWA1!L42+MPLSHOPWA2!L42+MPLSHOPWA2!L42</f>
        <v>0</v>
      </c>
      <c r="M42" s="43">
        <f>Cornerstone!M43+SPOL!M42+Hamline!M42+BlueLine!M42+MPLSHOPWA1!M42+MPLSHOPWA2!M42+MPLSHOPWA2!M42</f>
        <v>0</v>
      </c>
      <c r="N42" s="43">
        <f>Cornerstone!N43+SPOL!N42+Hamline!N42+BlueLine!N42+MPLSHOPWA1!N42+MPLSHOPWA2!N42+MPLSHOPWA2!N42</f>
        <v>0</v>
      </c>
      <c r="O42" s="43">
        <f>Cornerstone!O43+SPOL!O42+Hamline!O42+BlueLine!O42+MPLSHOPWA1!O42+MPLSHOPWA2!O42+MPLSHOPWA2!O42</f>
        <v>0</v>
      </c>
      <c r="P42" s="43">
        <f t="shared" si="5"/>
        <v>0</v>
      </c>
    </row>
    <row r="43" spans="1:17" x14ac:dyDescent="0.3">
      <c r="A43" s="195" t="s">
        <v>31</v>
      </c>
      <c r="B43" s="195"/>
      <c r="D43" s="28">
        <f>SUM(D35:D42)</f>
        <v>12676.56235824</v>
      </c>
      <c r="E43" s="28">
        <f t="shared" ref="E43:P43" si="6">SUM(E35:E42)</f>
        <v>12676.572525110401</v>
      </c>
      <c r="F43" s="28">
        <f t="shared" si="6"/>
        <v>19014.858787665598</v>
      </c>
      <c r="G43" s="28">
        <f t="shared" si="6"/>
        <v>12676.572525110401</v>
      </c>
      <c r="H43" s="28">
        <f t="shared" si="6"/>
        <v>12676.572525110401</v>
      </c>
      <c r="I43" s="28">
        <f t="shared" si="6"/>
        <v>12676.572525110401</v>
      </c>
      <c r="J43" s="28">
        <f t="shared" si="6"/>
        <v>12676.572525110401</v>
      </c>
      <c r="K43" s="28">
        <f t="shared" si="6"/>
        <v>19014.858787665598</v>
      </c>
      <c r="L43" s="28">
        <f t="shared" si="6"/>
        <v>12676.572525110401</v>
      </c>
      <c r="M43" s="28">
        <f t="shared" si="6"/>
        <v>12676.572525110401</v>
      </c>
      <c r="N43" s="28">
        <f t="shared" si="6"/>
        <v>12676.572525110401</v>
      </c>
      <c r="O43" s="28">
        <f t="shared" si="6"/>
        <v>12676.572525110401</v>
      </c>
      <c r="P43" s="28">
        <f t="shared" si="6"/>
        <v>164795.43265956483</v>
      </c>
      <c r="Q43" s="29">
        <f>SUM(P35:P42)</f>
        <v>164795.43265956483</v>
      </c>
    </row>
    <row r="44" spans="1:17" x14ac:dyDescent="0.3">
      <c r="A44" s="195" t="s">
        <v>32</v>
      </c>
      <c r="B44" s="195"/>
    </row>
    <row r="45" spans="1:17" x14ac:dyDescent="0.3">
      <c r="A45" s="1"/>
      <c r="B45" s="2" t="s">
        <v>33</v>
      </c>
      <c r="D45" s="43">
        <f>Cornerstone!D45+SPOL!D44+Hamline!D44+BlueLine!D44+MPLSHOPWA1!D44+MPLSHOPWA2!D44+MPLSHOPWA2!D44</f>
        <v>0</v>
      </c>
      <c r="E45" s="43">
        <f>Cornerstone!E45+SPOL!E44+Hamline!E44+BlueLine!E44+MPLSHOPWA1!E44+MPLSHOPWA2!E44+MPLSHOPWA2!E44</f>
        <v>0</v>
      </c>
      <c r="F45" s="43">
        <f>Cornerstone!F45+SPOL!F44+Hamline!F44+BlueLine!F44+MPLSHOPWA1!F44+MPLSHOPWA2!F44+MPLSHOPWA2!F44</f>
        <v>0</v>
      </c>
      <c r="G45" s="43">
        <f>Cornerstone!G45+SPOL!G44+Hamline!G44+BlueLine!G44+MPLSHOPWA1!G44+MPLSHOPWA2!G44+MPLSHOPWA2!G44</f>
        <v>0</v>
      </c>
      <c r="H45" s="43">
        <f>Cornerstone!H45+SPOL!H44+Hamline!H44+BlueLine!H44+MPLSHOPWA1!H44+MPLSHOPWA2!H44+MPLSHOPWA2!H44</f>
        <v>0</v>
      </c>
      <c r="I45" s="43">
        <f>Cornerstone!I45+SPOL!I44+Hamline!I44+BlueLine!I44+MPLSHOPWA1!I44+MPLSHOPWA2!I44+MPLSHOPWA2!I44</f>
        <v>0</v>
      </c>
      <c r="J45" s="43">
        <f>Cornerstone!J45+SPOL!J44+Hamline!J44+BlueLine!J44+MPLSHOPWA1!J44+MPLSHOPWA2!J44+MPLSHOPWA2!J44</f>
        <v>0</v>
      </c>
      <c r="K45" s="43">
        <f>Cornerstone!K45+SPOL!K44+Hamline!K44+BlueLine!K44+MPLSHOPWA1!K44+MPLSHOPWA2!K44+MPLSHOPWA2!K44</f>
        <v>0</v>
      </c>
      <c r="L45" s="43">
        <f>Cornerstone!L45+SPOL!L44+Hamline!L44+BlueLine!L44+MPLSHOPWA1!L44+MPLSHOPWA2!L44+MPLSHOPWA2!L44</f>
        <v>0</v>
      </c>
      <c r="M45" s="43">
        <f>Cornerstone!M45+SPOL!M44+Hamline!M44+BlueLine!M44+MPLSHOPWA1!M44+MPLSHOPWA2!M44+MPLSHOPWA2!M44</f>
        <v>0</v>
      </c>
      <c r="N45" s="43">
        <f>Cornerstone!N45+SPOL!N44+Hamline!N44+BlueLine!N44+MPLSHOPWA1!N44+MPLSHOPWA2!N44+MPLSHOPWA2!N44</f>
        <v>0</v>
      </c>
      <c r="O45" s="43">
        <f>Cornerstone!O45+SPOL!O44+Hamline!O44+BlueLine!O44+MPLSHOPWA1!O44+MPLSHOPWA2!O44+MPLSHOPWA2!O44</f>
        <v>0</v>
      </c>
      <c r="P45" s="43">
        <f t="shared" ref="P45:P53" si="7">SUM(D45:O45)</f>
        <v>0</v>
      </c>
    </row>
    <row r="46" spans="1:17" x14ac:dyDescent="0.3">
      <c r="A46" s="1"/>
      <c r="B46" s="2" t="s">
        <v>34</v>
      </c>
      <c r="D46" s="43">
        <f>Cornerstone!D46+SPOL!D45+Hamline!D45+BlueLine!D45+MPLSHOPWA1!D45+MPLSHOPWA2!D45+MPLSHOPWA2!D45</f>
        <v>0</v>
      </c>
      <c r="E46" s="43">
        <f>Cornerstone!E46+SPOL!E45+Hamline!E45+BlueLine!E45+MPLSHOPWA1!E45+MPLSHOPWA2!E45+MPLSHOPWA2!E45</f>
        <v>0</v>
      </c>
      <c r="F46" s="43">
        <f>Cornerstone!F46+SPOL!F45+Hamline!F45+BlueLine!F45+MPLSHOPWA1!F45+MPLSHOPWA2!F45+MPLSHOPWA2!F45</f>
        <v>0</v>
      </c>
      <c r="G46" s="43">
        <f>Cornerstone!G46+SPOL!G45+Hamline!G45+BlueLine!G45+MPLSHOPWA1!G45+MPLSHOPWA2!G45+MPLSHOPWA2!G45</f>
        <v>0</v>
      </c>
      <c r="H46" s="43">
        <f>Cornerstone!H46+SPOL!H45+Hamline!H45+BlueLine!H45+MPLSHOPWA1!H45+MPLSHOPWA2!H45+MPLSHOPWA2!H45</f>
        <v>0</v>
      </c>
      <c r="I46" s="43">
        <f>Cornerstone!I46+SPOL!I45+Hamline!I45+BlueLine!I45+MPLSHOPWA1!I45+MPLSHOPWA2!I45+MPLSHOPWA2!I45</f>
        <v>0</v>
      </c>
      <c r="J46" s="43">
        <f>Cornerstone!J46+SPOL!J45+Hamline!J45+BlueLine!J45+MPLSHOPWA1!J45+MPLSHOPWA2!J45+MPLSHOPWA2!J45</f>
        <v>0</v>
      </c>
      <c r="K46" s="43">
        <f>Cornerstone!K46+SPOL!K45+Hamline!K45+BlueLine!K45+MPLSHOPWA1!K45+MPLSHOPWA2!K45+MPLSHOPWA2!K45</f>
        <v>0</v>
      </c>
      <c r="L46" s="43">
        <f>Cornerstone!L46+SPOL!L45+Hamline!L45+BlueLine!L45+MPLSHOPWA1!L45+MPLSHOPWA2!L45+MPLSHOPWA2!L45</f>
        <v>0</v>
      </c>
      <c r="M46" s="43">
        <f>Cornerstone!M46+SPOL!M45+Hamline!M45+BlueLine!M45+MPLSHOPWA1!M45+MPLSHOPWA2!M45+MPLSHOPWA2!M45</f>
        <v>0</v>
      </c>
      <c r="N46" s="43">
        <f>Cornerstone!N46+SPOL!N45+Hamline!N45+BlueLine!N45+MPLSHOPWA1!N45+MPLSHOPWA2!N45+MPLSHOPWA2!N45</f>
        <v>0</v>
      </c>
      <c r="O46" s="43">
        <f>Cornerstone!O46+SPOL!O45+Hamline!O45+BlueLine!O45+MPLSHOPWA1!O45+MPLSHOPWA2!O45+MPLSHOPWA2!O45</f>
        <v>0</v>
      </c>
      <c r="P46" s="43">
        <f t="shared" si="7"/>
        <v>0</v>
      </c>
    </row>
    <row r="47" spans="1:17" x14ac:dyDescent="0.3">
      <c r="A47" s="1"/>
      <c r="B47" s="2" t="s">
        <v>35</v>
      </c>
      <c r="D47" s="43">
        <f>Cornerstone!D47+SPOL!D46+Hamline!D46+BlueLine!D46+MPLSHOPWA1!D46+MPLSHOPWA2!D46+MPLSHOPWA2!D46</f>
        <v>0</v>
      </c>
      <c r="E47" s="43">
        <f>Cornerstone!E47+SPOL!E46+Hamline!E46+BlueLine!E46+MPLSHOPWA1!E46+MPLSHOPWA2!E46+MPLSHOPWA2!E46</f>
        <v>0</v>
      </c>
      <c r="F47" s="43">
        <f>Cornerstone!F47+SPOL!F46+Hamline!F46+BlueLine!F46+MPLSHOPWA1!F46+MPLSHOPWA2!F46+MPLSHOPWA2!F46</f>
        <v>0</v>
      </c>
      <c r="G47" s="43">
        <f>Cornerstone!G47+SPOL!G46+Hamline!G46+BlueLine!G46+MPLSHOPWA1!G46+MPLSHOPWA2!G46+MPLSHOPWA2!G46</f>
        <v>0</v>
      </c>
      <c r="H47" s="43">
        <f>Cornerstone!H47+SPOL!H46+Hamline!H46+BlueLine!H46+MPLSHOPWA1!H46+MPLSHOPWA2!H46+MPLSHOPWA2!H46</f>
        <v>0</v>
      </c>
      <c r="I47" s="43">
        <f>Cornerstone!I47+SPOL!I46+Hamline!I46+BlueLine!I46+MPLSHOPWA1!I46+MPLSHOPWA2!I46+MPLSHOPWA2!I46</f>
        <v>0</v>
      </c>
      <c r="J47" s="43">
        <f>Cornerstone!J47+SPOL!J46+Hamline!J46+BlueLine!J46+MPLSHOPWA1!J46+MPLSHOPWA2!J46+MPLSHOPWA2!J46</f>
        <v>0</v>
      </c>
      <c r="K47" s="43">
        <f>Cornerstone!K47+SPOL!K46+Hamline!K46+BlueLine!K46+MPLSHOPWA1!K46+MPLSHOPWA2!K46+MPLSHOPWA2!K46</f>
        <v>0</v>
      </c>
      <c r="L47" s="43">
        <f>Cornerstone!L47+SPOL!L46+Hamline!L46+BlueLine!L46+MPLSHOPWA1!L46+MPLSHOPWA2!L46+MPLSHOPWA2!L46</f>
        <v>0</v>
      </c>
      <c r="M47" s="43">
        <f>Cornerstone!M47+SPOL!M46+Hamline!M46+BlueLine!M46+MPLSHOPWA1!M46+MPLSHOPWA2!M46+MPLSHOPWA2!M46</f>
        <v>0</v>
      </c>
      <c r="N47" s="43">
        <f>Cornerstone!N47+SPOL!N46+Hamline!N46+BlueLine!N46+MPLSHOPWA1!N46+MPLSHOPWA2!N46+MPLSHOPWA2!N46</f>
        <v>0</v>
      </c>
      <c r="O47" s="43">
        <f>Cornerstone!O47+SPOL!O46+Hamline!O46+BlueLine!O46+MPLSHOPWA1!O46+MPLSHOPWA2!O46+MPLSHOPWA2!O46</f>
        <v>0</v>
      </c>
      <c r="P47" s="43">
        <f t="shared" si="7"/>
        <v>0</v>
      </c>
    </row>
    <row r="48" spans="1:17" x14ac:dyDescent="0.3">
      <c r="A48" s="1"/>
      <c r="B48" s="2" t="s">
        <v>36</v>
      </c>
      <c r="D48" s="43">
        <f>Cornerstone!D48+SPOL!D47+Hamline!D47+BlueLine!D47+MPLSHOPWA1!D47+MPLSHOPWA2!D47+MPLSHOPWA2!D47</f>
        <v>0</v>
      </c>
      <c r="E48" s="43">
        <f>Cornerstone!E48+SPOL!E47+Hamline!E47+BlueLine!E47+MPLSHOPWA1!E47+MPLSHOPWA2!E47+MPLSHOPWA2!E47</f>
        <v>0</v>
      </c>
      <c r="F48" s="43">
        <f>Cornerstone!F48+SPOL!F47+Hamline!F47+BlueLine!F47+MPLSHOPWA1!F47+MPLSHOPWA2!F47+MPLSHOPWA2!F47</f>
        <v>0</v>
      </c>
      <c r="G48" s="43">
        <f>Cornerstone!G48+SPOL!G47+Hamline!G47+BlueLine!G47+MPLSHOPWA1!G47+MPLSHOPWA2!G47+MPLSHOPWA2!G47</f>
        <v>0</v>
      </c>
      <c r="H48" s="43">
        <f>Cornerstone!H48+SPOL!H47+Hamline!H47+BlueLine!H47+MPLSHOPWA1!H47+MPLSHOPWA2!H47+MPLSHOPWA2!H47</f>
        <v>0</v>
      </c>
      <c r="I48" s="43">
        <f>Cornerstone!I48+SPOL!I47+Hamline!I47+BlueLine!I47+MPLSHOPWA1!I47+MPLSHOPWA2!I47+MPLSHOPWA2!I47</f>
        <v>0</v>
      </c>
      <c r="J48" s="43">
        <f>Cornerstone!J48+SPOL!J47+Hamline!J47+BlueLine!J47+MPLSHOPWA1!J47+MPLSHOPWA2!J47+MPLSHOPWA2!J47</f>
        <v>0</v>
      </c>
      <c r="K48" s="43">
        <f>Cornerstone!K48+SPOL!K47+Hamline!K47+BlueLine!K47+MPLSHOPWA1!K47+MPLSHOPWA2!K47+MPLSHOPWA2!K47</f>
        <v>0</v>
      </c>
      <c r="L48" s="43">
        <f>Cornerstone!L48+SPOL!L47+Hamline!L47+BlueLine!L47+MPLSHOPWA1!L47+MPLSHOPWA2!L47+MPLSHOPWA2!L47</f>
        <v>0</v>
      </c>
      <c r="M48" s="43">
        <f>Cornerstone!M48+SPOL!M47+Hamline!M47+BlueLine!M47+MPLSHOPWA1!M47+MPLSHOPWA2!M47+MPLSHOPWA2!M47</f>
        <v>0</v>
      </c>
      <c r="N48" s="43">
        <f>Cornerstone!N48+SPOL!N47+Hamline!N47+BlueLine!N47+MPLSHOPWA1!N47+MPLSHOPWA2!N47+MPLSHOPWA2!N47</f>
        <v>0</v>
      </c>
      <c r="O48" s="43">
        <f>Cornerstone!O48+SPOL!O47+Hamline!O47+BlueLine!O47+MPLSHOPWA1!O47+MPLSHOPWA2!O47+MPLSHOPWA2!O47</f>
        <v>0</v>
      </c>
      <c r="P48" s="43">
        <f t="shared" si="7"/>
        <v>0</v>
      </c>
    </row>
    <row r="49" spans="1:18" x14ac:dyDescent="0.3">
      <c r="A49" s="1"/>
      <c r="B49" s="2" t="s">
        <v>37</v>
      </c>
      <c r="D49" s="43">
        <f>Cornerstone!D49+SPOL!D48+Hamline!D48+BlueLine!D48+MPLSHOPWA1!D48+MPLSHOPWA2!D48+MPLSHOPWA2!D48</f>
        <v>40</v>
      </c>
      <c r="E49" s="43">
        <f>Cornerstone!E49+SPOL!E48+Hamline!E48+BlueLine!E48+MPLSHOPWA1!E48+MPLSHOPWA2!E48+MPLSHOPWA2!E48</f>
        <v>40</v>
      </c>
      <c r="F49" s="43">
        <f>Cornerstone!F49+SPOL!F48+Hamline!F48+BlueLine!F48+MPLSHOPWA1!F48+MPLSHOPWA2!F48+MPLSHOPWA2!F48</f>
        <v>40</v>
      </c>
      <c r="G49" s="43">
        <f>Cornerstone!G49+SPOL!G48+Hamline!G48+BlueLine!G48+MPLSHOPWA1!G48+MPLSHOPWA2!G48+MPLSHOPWA2!G48</f>
        <v>40</v>
      </c>
      <c r="H49" s="43">
        <f>Cornerstone!H49+SPOL!H48+Hamline!H48+BlueLine!H48+MPLSHOPWA1!H48+MPLSHOPWA2!H48+MPLSHOPWA2!H48</f>
        <v>40</v>
      </c>
      <c r="I49" s="43">
        <f>Cornerstone!I49+SPOL!I48+Hamline!I48+BlueLine!I48+MPLSHOPWA1!I48+MPLSHOPWA2!I48+MPLSHOPWA2!I48</f>
        <v>40</v>
      </c>
      <c r="J49" s="43">
        <f>Cornerstone!J49+SPOL!J48+Hamline!J48+BlueLine!J48+MPLSHOPWA1!J48+MPLSHOPWA2!J48+MPLSHOPWA2!J48</f>
        <v>40</v>
      </c>
      <c r="K49" s="43">
        <f>Cornerstone!K49+SPOL!K48+Hamline!K48+BlueLine!K48+MPLSHOPWA1!K48+MPLSHOPWA2!K48+MPLSHOPWA2!K48</f>
        <v>40</v>
      </c>
      <c r="L49" s="43">
        <f>Cornerstone!L49+SPOL!L48+Hamline!L48+BlueLine!L48+MPLSHOPWA1!L48+MPLSHOPWA2!L48+MPLSHOPWA2!L48</f>
        <v>40</v>
      </c>
      <c r="M49" s="43">
        <f>Cornerstone!M49+SPOL!M48+Hamline!M48+BlueLine!M48+MPLSHOPWA1!M48+MPLSHOPWA2!M48+MPLSHOPWA2!M48</f>
        <v>40</v>
      </c>
      <c r="N49" s="43">
        <f>Cornerstone!N49+SPOL!N48+Hamline!N48+BlueLine!N48+MPLSHOPWA1!N48+MPLSHOPWA2!N48+MPLSHOPWA2!N48</f>
        <v>40</v>
      </c>
      <c r="O49" s="43">
        <f>Cornerstone!O49+SPOL!O48+Hamline!O48+BlueLine!O48+MPLSHOPWA1!O48+MPLSHOPWA2!O48+MPLSHOPWA2!O48</f>
        <v>40</v>
      </c>
      <c r="P49" s="43">
        <f t="shared" si="7"/>
        <v>480</v>
      </c>
    </row>
    <row r="50" spans="1:18" s="42" customFormat="1" x14ac:dyDescent="0.3">
      <c r="A50" s="1"/>
      <c r="B50" s="93" t="s">
        <v>194</v>
      </c>
      <c r="D50" s="43">
        <f>Cornerstone!D50+SPOL!D49+Hamline!D49+BlueLine!D49+MPLSHOPWA1!D49+MPLSHOPWA2!D49+MPLSHOPWA2!D49</f>
        <v>70</v>
      </c>
      <c r="E50" s="43">
        <f>Cornerstone!E50+SPOL!E49+Hamline!E49+BlueLine!E49+MPLSHOPWA1!E49+MPLSHOPWA2!E49+MPLSHOPWA2!E49</f>
        <v>70</v>
      </c>
      <c r="F50" s="43">
        <f>Cornerstone!F50+SPOL!F49+Hamline!F49+BlueLine!F49+MPLSHOPWA1!F49+MPLSHOPWA2!F49+MPLSHOPWA2!F49</f>
        <v>70</v>
      </c>
      <c r="G50" s="43">
        <f>Cornerstone!G50+SPOL!G49+Hamline!G49+BlueLine!G49+MPLSHOPWA1!G49+MPLSHOPWA2!G49+MPLSHOPWA2!G49</f>
        <v>70</v>
      </c>
      <c r="H50" s="43">
        <f>Cornerstone!H50+SPOL!H49+Hamline!H49+BlueLine!H49+MPLSHOPWA1!H49+MPLSHOPWA2!H49+MPLSHOPWA2!H49</f>
        <v>70</v>
      </c>
      <c r="I50" s="43">
        <f>Cornerstone!I50+SPOL!I49+Hamline!I49+BlueLine!I49+MPLSHOPWA1!I49+MPLSHOPWA2!I49+MPLSHOPWA2!I49</f>
        <v>70</v>
      </c>
      <c r="J50" s="43">
        <f>Cornerstone!J50+SPOL!J49+Hamline!J49+BlueLine!J49+MPLSHOPWA1!J49+MPLSHOPWA2!J49+MPLSHOPWA2!J49</f>
        <v>70</v>
      </c>
      <c r="K50" s="43">
        <f>Cornerstone!K50+SPOL!K49+Hamline!K49+BlueLine!K49+MPLSHOPWA1!K49+MPLSHOPWA2!K49+MPLSHOPWA2!K49</f>
        <v>70</v>
      </c>
      <c r="L50" s="43">
        <f>Cornerstone!L50+SPOL!L49+Hamline!L49+BlueLine!L49+MPLSHOPWA1!L49+MPLSHOPWA2!L49+MPLSHOPWA2!L49</f>
        <v>70</v>
      </c>
      <c r="M50" s="43">
        <f>Cornerstone!M50+SPOL!M49+Hamline!M49+BlueLine!M49+MPLSHOPWA1!M49+MPLSHOPWA2!M49+MPLSHOPWA2!M49</f>
        <v>70</v>
      </c>
      <c r="N50" s="43">
        <f>Cornerstone!N50+SPOL!N49+Hamline!N49+BlueLine!N49+MPLSHOPWA1!N49+MPLSHOPWA2!N49+MPLSHOPWA2!N49</f>
        <v>70</v>
      </c>
      <c r="O50" s="43">
        <f>Cornerstone!O50+SPOL!O49+Hamline!O49+BlueLine!O49+MPLSHOPWA1!O49+MPLSHOPWA2!O49+MPLSHOPWA2!O49</f>
        <v>70</v>
      </c>
      <c r="P50" s="43">
        <f>SUM(D50:O50)</f>
        <v>840</v>
      </c>
      <c r="Q50" s="43"/>
      <c r="R50" s="43"/>
    </row>
    <row r="51" spans="1:18" x14ac:dyDescent="0.3">
      <c r="A51" s="1"/>
      <c r="B51" s="2" t="s">
        <v>38</v>
      </c>
      <c r="D51" s="43">
        <f>Cornerstone!D51+SPOL!D50+Hamline!D50+BlueLine!D50+MPLSHOPWA1!D50+MPLSHOPWA2!D50+MPLSHOPWA2!D50</f>
        <v>0</v>
      </c>
      <c r="E51" s="43">
        <f>Cornerstone!E51+SPOL!E50+Hamline!E50+BlueLine!E50+MPLSHOPWA1!E50+MPLSHOPWA2!E50+MPLSHOPWA2!E50</f>
        <v>0</v>
      </c>
      <c r="F51" s="43">
        <f>Cornerstone!F51+SPOL!F50+Hamline!F50+BlueLine!F50+MPLSHOPWA1!F50+MPLSHOPWA2!F50+MPLSHOPWA2!F50</f>
        <v>0</v>
      </c>
      <c r="G51" s="43">
        <f>Cornerstone!G51+SPOL!G50+Hamline!G50+BlueLine!G50+MPLSHOPWA1!G50+MPLSHOPWA2!G50+MPLSHOPWA2!G50</f>
        <v>0</v>
      </c>
      <c r="H51" s="43">
        <f>Cornerstone!H51+SPOL!H50+Hamline!H50+BlueLine!H50+MPLSHOPWA1!H50+MPLSHOPWA2!H50+MPLSHOPWA2!H50</f>
        <v>0</v>
      </c>
      <c r="I51" s="43">
        <f>Cornerstone!I51+SPOL!I50+Hamline!I50+BlueLine!I50+MPLSHOPWA1!I50+MPLSHOPWA2!I50+MPLSHOPWA2!I50</f>
        <v>0</v>
      </c>
      <c r="J51" s="43">
        <f>Cornerstone!J51+SPOL!J50+Hamline!J50+BlueLine!J50+MPLSHOPWA1!J50+MPLSHOPWA2!J50+MPLSHOPWA2!J50</f>
        <v>0</v>
      </c>
      <c r="K51" s="43">
        <f>Cornerstone!K51+SPOL!K50+Hamline!K50+BlueLine!K50+MPLSHOPWA1!K50+MPLSHOPWA2!K50+MPLSHOPWA2!K50</f>
        <v>0</v>
      </c>
      <c r="L51" s="43">
        <f>Cornerstone!L51+SPOL!L50+Hamline!L50+BlueLine!L50+MPLSHOPWA1!L50+MPLSHOPWA2!L50+MPLSHOPWA2!L50</f>
        <v>0</v>
      </c>
      <c r="M51" s="43">
        <f>Cornerstone!M51+SPOL!M50+Hamline!M50+BlueLine!M50+MPLSHOPWA1!M50+MPLSHOPWA2!M50+MPLSHOPWA2!M50</f>
        <v>0</v>
      </c>
      <c r="N51" s="43">
        <f>Cornerstone!N51+SPOL!N50+Hamline!N50+BlueLine!N50+MPLSHOPWA1!N50+MPLSHOPWA2!N50+MPLSHOPWA2!N50</f>
        <v>0</v>
      </c>
      <c r="O51" s="43">
        <f>Cornerstone!O51+SPOL!O50+Hamline!O50+BlueLine!O50+MPLSHOPWA1!O50+MPLSHOPWA2!O50+MPLSHOPWA2!O50</f>
        <v>0</v>
      </c>
      <c r="P51" s="43">
        <f t="shared" si="7"/>
        <v>0</v>
      </c>
    </row>
    <row r="52" spans="1:18" s="42" customFormat="1" x14ac:dyDescent="0.3">
      <c r="A52" s="1"/>
      <c r="B52" s="93" t="s">
        <v>194</v>
      </c>
      <c r="D52" s="43">
        <f>Cornerstone!D52+SPOL!D51+Hamline!D51+BlueLine!D51+MPLSHOPWA1!D51+MPLSHOPWA2!D51+MPLSHOPWA2!D51</f>
        <v>0</v>
      </c>
      <c r="E52" s="43">
        <f>Cornerstone!E52+SPOL!E51+Hamline!E51+BlueLine!E51+MPLSHOPWA1!E51+MPLSHOPWA2!E51+MPLSHOPWA2!E51</f>
        <v>0</v>
      </c>
      <c r="F52" s="43">
        <f>Cornerstone!F52+SPOL!F51+Hamline!F51+BlueLine!F51+MPLSHOPWA1!F51+MPLSHOPWA2!F51+MPLSHOPWA2!F51</f>
        <v>0</v>
      </c>
      <c r="G52" s="43">
        <f>Cornerstone!G52+SPOL!G51+Hamline!G51+BlueLine!G51+MPLSHOPWA1!G51+MPLSHOPWA2!G51+MPLSHOPWA2!G51</f>
        <v>0</v>
      </c>
      <c r="H52" s="43">
        <f>Cornerstone!H52+SPOL!H51+Hamline!H51+BlueLine!H51+MPLSHOPWA1!H51+MPLSHOPWA2!H51+MPLSHOPWA2!H51</f>
        <v>0</v>
      </c>
      <c r="I52" s="43">
        <f>Cornerstone!I52+SPOL!I51+Hamline!I51+BlueLine!I51+MPLSHOPWA1!I51+MPLSHOPWA2!I51+MPLSHOPWA2!I51</f>
        <v>0</v>
      </c>
      <c r="J52" s="43">
        <f>Cornerstone!J52+SPOL!J51+Hamline!J51+BlueLine!J51+MPLSHOPWA1!J51+MPLSHOPWA2!J51+MPLSHOPWA2!J51</f>
        <v>0</v>
      </c>
      <c r="K52" s="43">
        <f>Cornerstone!K52+SPOL!K51+Hamline!K51+BlueLine!K51+MPLSHOPWA1!K51+MPLSHOPWA2!K51+MPLSHOPWA2!K51</f>
        <v>0</v>
      </c>
      <c r="L52" s="43">
        <f>Cornerstone!L52+SPOL!L51+Hamline!L51+BlueLine!L51+MPLSHOPWA1!L51+MPLSHOPWA2!L51+MPLSHOPWA2!L51</f>
        <v>0</v>
      </c>
      <c r="M52" s="43">
        <f>Cornerstone!M52+SPOL!M51+Hamline!M51+BlueLine!M51+MPLSHOPWA1!M51+MPLSHOPWA2!M51+MPLSHOPWA2!M51</f>
        <v>0</v>
      </c>
      <c r="N52" s="43">
        <f>Cornerstone!N52+SPOL!N51+Hamline!N51+BlueLine!N51+MPLSHOPWA1!N51+MPLSHOPWA2!N51+MPLSHOPWA2!N51</f>
        <v>0</v>
      </c>
      <c r="O52" s="43">
        <f>Cornerstone!O52+SPOL!O51+Hamline!O51+BlueLine!O51+MPLSHOPWA1!O51+MPLSHOPWA2!O51+MPLSHOPWA2!O51</f>
        <v>0</v>
      </c>
      <c r="P52" s="43">
        <f>SUM(D52:O52)</f>
        <v>0</v>
      </c>
      <c r="Q52" s="43"/>
      <c r="R52" s="43"/>
    </row>
    <row r="53" spans="1:18" x14ac:dyDescent="0.3">
      <c r="A53" s="1"/>
      <c r="B53" s="2" t="s">
        <v>39</v>
      </c>
      <c r="D53" s="43">
        <f>Cornerstone!D53+SPOL!D52+Hamline!D52+BlueLine!D52+MPLSHOPWA1!D52+MPLSHOPWA2!D52+MPLSHOPWA2!D52</f>
        <v>50</v>
      </c>
      <c r="E53" s="43">
        <f>Cornerstone!E53+SPOL!E52+Hamline!E52+BlueLine!E52+MPLSHOPWA1!E52+MPLSHOPWA2!E52+MPLSHOPWA2!E52</f>
        <v>50</v>
      </c>
      <c r="F53" s="43">
        <f>Cornerstone!F53+SPOL!F52+Hamline!F52+BlueLine!F52+MPLSHOPWA1!F52+MPLSHOPWA2!F52+MPLSHOPWA2!F52</f>
        <v>50</v>
      </c>
      <c r="G53" s="43">
        <f>Cornerstone!G53+SPOL!G52+Hamline!G52+BlueLine!G52+MPLSHOPWA1!G52+MPLSHOPWA2!G52+MPLSHOPWA2!G52</f>
        <v>50</v>
      </c>
      <c r="H53" s="43">
        <f>Cornerstone!H53+SPOL!H52+Hamline!H52+BlueLine!H52+MPLSHOPWA1!H52+MPLSHOPWA2!H52+MPLSHOPWA2!H52</f>
        <v>50</v>
      </c>
      <c r="I53" s="43">
        <f>Cornerstone!I53+SPOL!I52+Hamline!I52+BlueLine!I52+MPLSHOPWA1!I52+MPLSHOPWA2!I52+MPLSHOPWA2!I52</f>
        <v>50</v>
      </c>
      <c r="J53" s="43">
        <f>Cornerstone!J53+SPOL!J52+Hamline!J52+BlueLine!J52+MPLSHOPWA1!J52+MPLSHOPWA2!J52+MPLSHOPWA2!J52</f>
        <v>50</v>
      </c>
      <c r="K53" s="43">
        <f>Cornerstone!K53+SPOL!K52+Hamline!K52+BlueLine!K52+MPLSHOPWA1!K52+MPLSHOPWA2!K52+MPLSHOPWA2!K52</f>
        <v>50</v>
      </c>
      <c r="L53" s="43">
        <f>Cornerstone!L53+SPOL!L52+Hamline!L52+BlueLine!L52+MPLSHOPWA1!L52+MPLSHOPWA2!L52+MPLSHOPWA2!L52</f>
        <v>50</v>
      </c>
      <c r="M53" s="43">
        <f>Cornerstone!M53+SPOL!M52+Hamline!M52+BlueLine!M52+MPLSHOPWA1!M52+MPLSHOPWA2!M52+MPLSHOPWA2!M52</f>
        <v>50</v>
      </c>
      <c r="N53" s="43">
        <f>Cornerstone!N53+SPOL!N52+Hamline!N52+BlueLine!N52+MPLSHOPWA1!N52+MPLSHOPWA2!N52+MPLSHOPWA2!N52</f>
        <v>50</v>
      </c>
      <c r="O53" s="43">
        <f>Cornerstone!O53+SPOL!O52+Hamline!O52+BlueLine!O52+MPLSHOPWA1!O52+MPLSHOPWA2!O52+MPLSHOPWA2!O52</f>
        <v>50</v>
      </c>
      <c r="P53" s="43">
        <f t="shared" si="7"/>
        <v>600</v>
      </c>
    </row>
    <row r="54" spans="1:18" x14ac:dyDescent="0.3">
      <c r="A54" s="195" t="s">
        <v>40</v>
      </c>
      <c r="B54" s="195"/>
      <c r="D54" s="28">
        <f t="shared" ref="D54:P54" si="8">SUM(D45:D53)</f>
        <v>160</v>
      </c>
      <c r="E54" s="28">
        <f t="shared" si="8"/>
        <v>160</v>
      </c>
      <c r="F54" s="28">
        <f t="shared" si="8"/>
        <v>160</v>
      </c>
      <c r="G54" s="28">
        <f t="shared" si="8"/>
        <v>160</v>
      </c>
      <c r="H54" s="28">
        <f t="shared" si="8"/>
        <v>160</v>
      </c>
      <c r="I54" s="28">
        <f t="shared" si="8"/>
        <v>160</v>
      </c>
      <c r="J54" s="28">
        <f t="shared" si="8"/>
        <v>160</v>
      </c>
      <c r="K54" s="28">
        <f t="shared" si="8"/>
        <v>160</v>
      </c>
      <c r="L54" s="28">
        <f t="shared" si="8"/>
        <v>160</v>
      </c>
      <c r="M54" s="28">
        <f t="shared" si="8"/>
        <v>160</v>
      </c>
      <c r="N54" s="28">
        <f t="shared" si="8"/>
        <v>160</v>
      </c>
      <c r="O54" s="28">
        <f t="shared" si="8"/>
        <v>160</v>
      </c>
      <c r="P54" s="28">
        <f t="shared" si="8"/>
        <v>1920</v>
      </c>
      <c r="Q54" s="29">
        <f>SUM(P53)-P54</f>
        <v>-1320</v>
      </c>
    </row>
    <row r="55" spans="1:18" x14ac:dyDescent="0.3">
      <c r="A55" s="195" t="s">
        <v>41</v>
      </c>
      <c r="B55" s="195"/>
    </row>
    <row r="56" spans="1:18" x14ac:dyDescent="0.3">
      <c r="A56" s="1"/>
      <c r="B56" s="2" t="s">
        <v>42</v>
      </c>
      <c r="D56" s="43">
        <f>Cornerstone!D57+SPOL!D56+Hamline!D56+BlueLine!D56+MPLSHOPWA1!D56+MPLSHOPWA2!D56+MPLSHOPWA2!D56</f>
        <v>0</v>
      </c>
      <c r="E56" s="43">
        <f>Cornerstone!E57+SPOL!E56+Hamline!E56+BlueLine!E56+MPLSHOPWA1!E56+MPLSHOPWA2!E56+MPLSHOPWA2!E56</f>
        <v>0</v>
      </c>
      <c r="F56" s="43">
        <f>Cornerstone!F57+SPOL!F56+Hamline!F56+BlueLine!F56+MPLSHOPWA1!F56+MPLSHOPWA2!F56+MPLSHOPWA2!F56</f>
        <v>0</v>
      </c>
      <c r="G56" s="43">
        <f>Cornerstone!G57+SPOL!G56+Hamline!G56+BlueLine!G56+MPLSHOPWA1!G56+MPLSHOPWA2!G56+MPLSHOPWA2!G56</f>
        <v>0</v>
      </c>
      <c r="H56" s="43">
        <f>Cornerstone!H57+SPOL!H56+Hamline!H56+BlueLine!H56+MPLSHOPWA1!H56+MPLSHOPWA2!H56+MPLSHOPWA2!H56</f>
        <v>0</v>
      </c>
      <c r="I56" s="43">
        <f>Cornerstone!I57+SPOL!I56+Hamline!I56+BlueLine!I56+MPLSHOPWA1!I56+MPLSHOPWA2!I56+MPLSHOPWA2!I56</f>
        <v>0</v>
      </c>
      <c r="J56" s="43">
        <f>Cornerstone!J57+SPOL!J56+Hamline!J56+BlueLine!J56+MPLSHOPWA1!J56+MPLSHOPWA2!J56+MPLSHOPWA2!J56</f>
        <v>0</v>
      </c>
      <c r="K56" s="43">
        <f>Cornerstone!K57+SPOL!K56+Hamline!K56+BlueLine!K56+MPLSHOPWA1!K56+MPLSHOPWA2!K56+MPLSHOPWA2!K56</f>
        <v>0</v>
      </c>
      <c r="L56" s="43">
        <f>Cornerstone!L57+SPOL!L56+Hamline!L56+BlueLine!L56+MPLSHOPWA1!L56+MPLSHOPWA2!L56+MPLSHOPWA2!L56</f>
        <v>0</v>
      </c>
      <c r="M56" s="43">
        <f>Cornerstone!M57+SPOL!M56+Hamline!M56+BlueLine!M56+MPLSHOPWA1!M56+MPLSHOPWA2!M56+MPLSHOPWA2!M56</f>
        <v>0</v>
      </c>
      <c r="N56" s="43">
        <f>Cornerstone!N57+SPOL!N56+Hamline!N56+BlueLine!N56+MPLSHOPWA1!N56+MPLSHOPWA2!N56+MPLSHOPWA2!N56</f>
        <v>0</v>
      </c>
      <c r="O56" s="43">
        <f>Cornerstone!O57+SPOL!O56+Hamline!O56+BlueLine!O56+MPLSHOPWA1!O56+MPLSHOPWA2!O56+MPLSHOPWA2!O56</f>
        <v>0</v>
      </c>
      <c r="P56" s="43">
        <f t="shared" ref="P56:P84" si="9">SUM(D56:O56)</f>
        <v>0</v>
      </c>
    </row>
    <row r="57" spans="1:18" x14ac:dyDescent="0.3">
      <c r="A57" s="1"/>
      <c r="B57" s="2" t="s">
        <v>43</v>
      </c>
      <c r="D57" s="43">
        <f>Cornerstone!D58+SPOL!D57+Hamline!D57+BlueLine!D57+MPLSHOPWA1!D57+MPLSHOPWA2!D57+MPLSHOPWA2!D57</f>
        <v>0</v>
      </c>
      <c r="E57" s="43">
        <f>Cornerstone!E58+SPOL!E57+Hamline!E57+BlueLine!E57+MPLSHOPWA1!E57+MPLSHOPWA2!E57+MPLSHOPWA2!E57</f>
        <v>0</v>
      </c>
      <c r="F57" s="43">
        <f>Cornerstone!F58+SPOL!F57+Hamline!F57+BlueLine!F57+MPLSHOPWA1!F57+MPLSHOPWA2!F57+MPLSHOPWA2!F57</f>
        <v>0</v>
      </c>
      <c r="G57" s="43">
        <f>Cornerstone!G58+SPOL!G57+Hamline!G57+BlueLine!G57+MPLSHOPWA1!G57+MPLSHOPWA2!G57+MPLSHOPWA2!G57</f>
        <v>0</v>
      </c>
      <c r="H57" s="43">
        <f>Cornerstone!H58+SPOL!H57+Hamline!H57+BlueLine!H57+MPLSHOPWA1!H57+MPLSHOPWA2!H57+MPLSHOPWA2!H57</f>
        <v>0</v>
      </c>
      <c r="I57" s="43">
        <f>Cornerstone!I58+SPOL!I57+Hamline!I57+BlueLine!I57+MPLSHOPWA1!I57+MPLSHOPWA2!I57+MPLSHOPWA2!I57</f>
        <v>0</v>
      </c>
      <c r="J57" s="43">
        <f>Cornerstone!J58+SPOL!J57+Hamline!J57+BlueLine!J57+MPLSHOPWA1!J57+MPLSHOPWA2!J57+MPLSHOPWA2!J57</f>
        <v>0</v>
      </c>
      <c r="K57" s="43">
        <f>Cornerstone!K58+SPOL!K57+Hamline!K57+BlueLine!K57+MPLSHOPWA1!K57+MPLSHOPWA2!K57+MPLSHOPWA2!K57</f>
        <v>0</v>
      </c>
      <c r="L57" s="43">
        <f>Cornerstone!L58+SPOL!L57+Hamline!L57+BlueLine!L57+MPLSHOPWA1!L57+MPLSHOPWA2!L57+MPLSHOPWA2!L57</f>
        <v>0</v>
      </c>
      <c r="M57" s="43">
        <f>Cornerstone!M58+SPOL!M57+Hamline!M57+BlueLine!M57+MPLSHOPWA1!M57+MPLSHOPWA2!M57+MPLSHOPWA2!M57</f>
        <v>0</v>
      </c>
      <c r="N57" s="43">
        <f>Cornerstone!N58+SPOL!N57+Hamline!N57+BlueLine!N57+MPLSHOPWA1!N57+MPLSHOPWA2!N57+MPLSHOPWA2!N57</f>
        <v>0</v>
      </c>
      <c r="O57" s="43">
        <f>Cornerstone!O58+SPOL!O57+Hamline!O57+BlueLine!O57+MPLSHOPWA1!O57+MPLSHOPWA2!O57+MPLSHOPWA2!O57</f>
        <v>0</v>
      </c>
      <c r="P57" s="43">
        <f t="shared" si="9"/>
        <v>0</v>
      </c>
    </row>
    <row r="58" spans="1:18" x14ac:dyDescent="0.3">
      <c r="A58" s="1"/>
      <c r="B58" s="2" t="s">
        <v>44</v>
      </c>
      <c r="D58" s="43">
        <f>Cornerstone!D59+SPOL!D58+Hamline!D58+BlueLine!D58+MPLSHOPWA1!D58+MPLSHOPWA2!D58+MPLSHOPWA2!D58</f>
        <v>0</v>
      </c>
      <c r="E58" s="43">
        <f>Cornerstone!E59+SPOL!E58+Hamline!E58+BlueLine!E58+MPLSHOPWA1!E58+MPLSHOPWA2!E58+MPLSHOPWA2!E58</f>
        <v>0</v>
      </c>
      <c r="F58" s="43">
        <f>Cornerstone!F59+SPOL!F58+Hamline!F58+BlueLine!F58+MPLSHOPWA1!F58+MPLSHOPWA2!F58+MPLSHOPWA2!F58</f>
        <v>0</v>
      </c>
      <c r="G58" s="43">
        <f>Cornerstone!G59+SPOL!G58+Hamline!G58+BlueLine!G58+MPLSHOPWA1!G58+MPLSHOPWA2!G58+MPLSHOPWA2!G58</f>
        <v>0</v>
      </c>
      <c r="H58" s="43">
        <f>Cornerstone!H59+SPOL!H58+Hamline!H58+BlueLine!H58+MPLSHOPWA1!H58+MPLSHOPWA2!H58+MPLSHOPWA2!H58</f>
        <v>0</v>
      </c>
      <c r="I58" s="43">
        <f>Cornerstone!I59+SPOL!I58+Hamline!I58+BlueLine!I58+MPLSHOPWA1!I58+MPLSHOPWA2!I58+MPLSHOPWA2!I58</f>
        <v>0</v>
      </c>
      <c r="J58" s="43">
        <f>Cornerstone!J59+SPOL!J58+Hamline!J58+BlueLine!J58+MPLSHOPWA1!J58+MPLSHOPWA2!J58+MPLSHOPWA2!J58</f>
        <v>0</v>
      </c>
      <c r="K58" s="43">
        <f>Cornerstone!K59+SPOL!K58+Hamline!K58+BlueLine!K58+MPLSHOPWA1!K58+MPLSHOPWA2!K58+MPLSHOPWA2!K58</f>
        <v>0</v>
      </c>
      <c r="L58" s="43">
        <f>Cornerstone!L59+SPOL!L58+Hamline!L58+BlueLine!L58+MPLSHOPWA1!L58+MPLSHOPWA2!L58+MPLSHOPWA2!L58</f>
        <v>0</v>
      </c>
      <c r="M58" s="43">
        <f>Cornerstone!M59+SPOL!M58+Hamline!M58+BlueLine!M58+MPLSHOPWA1!M58+MPLSHOPWA2!M58+MPLSHOPWA2!M58</f>
        <v>0</v>
      </c>
      <c r="N58" s="43">
        <f>Cornerstone!N59+SPOL!N58+Hamline!N58+BlueLine!N58+MPLSHOPWA1!N58+MPLSHOPWA2!N58+MPLSHOPWA2!N58</f>
        <v>0</v>
      </c>
      <c r="O58" s="43">
        <f>Cornerstone!O59+SPOL!O58+Hamline!O58+BlueLine!O58+MPLSHOPWA1!O58+MPLSHOPWA2!O58+MPLSHOPWA2!O58</f>
        <v>0</v>
      </c>
      <c r="P58" s="43">
        <f t="shared" si="9"/>
        <v>0</v>
      </c>
    </row>
    <row r="59" spans="1:18" x14ac:dyDescent="0.3">
      <c r="A59" s="1"/>
      <c r="B59" s="2" t="s">
        <v>45</v>
      </c>
      <c r="D59" s="43">
        <f>Cornerstone!D60+SPOL!D59+Hamline!D59+BlueLine!D59+MPLSHOPWA1!D59+MPLSHOPWA2!D59+MPLSHOPWA2!D59</f>
        <v>0</v>
      </c>
      <c r="E59" s="43">
        <f>Cornerstone!E60+SPOL!E59+Hamline!E59+BlueLine!E59+MPLSHOPWA1!E59+MPLSHOPWA2!E59+MPLSHOPWA2!E59</f>
        <v>0</v>
      </c>
      <c r="F59" s="43">
        <f>Cornerstone!F60+SPOL!F59+Hamline!F59+BlueLine!F59+MPLSHOPWA1!F59+MPLSHOPWA2!F59+MPLSHOPWA2!F59</f>
        <v>0</v>
      </c>
      <c r="G59" s="43">
        <f>Cornerstone!G60+SPOL!G59+Hamline!G59+BlueLine!G59+MPLSHOPWA1!G59+MPLSHOPWA2!G59+MPLSHOPWA2!G59</f>
        <v>0</v>
      </c>
      <c r="H59" s="43">
        <f>Cornerstone!H60+SPOL!H59+Hamline!H59+BlueLine!H59+MPLSHOPWA1!H59+MPLSHOPWA2!H59+MPLSHOPWA2!H59</f>
        <v>0</v>
      </c>
      <c r="I59" s="43">
        <f>Cornerstone!I60+SPOL!I59+Hamline!I59+BlueLine!I59+MPLSHOPWA1!I59+MPLSHOPWA2!I59+MPLSHOPWA2!I59</f>
        <v>0</v>
      </c>
      <c r="J59" s="43">
        <f>Cornerstone!J60+SPOL!J59+Hamline!J59+BlueLine!J59+MPLSHOPWA1!J59+MPLSHOPWA2!J59+MPLSHOPWA2!J59</f>
        <v>0</v>
      </c>
      <c r="K59" s="43">
        <f>Cornerstone!K60+SPOL!K59+Hamline!K59+BlueLine!K59+MPLSHOPWA1!K59+MPLSHOPWA2!K59+MPLSHOPWA2!K59</f>
        <v>0</v>
      </c>
      <c r="L59" s="43">
        <f>Cornerstone!L60+SPOL!L59+Hamline!L59+BlueLine!L59+MPLSHOPWA1!L59+MPLSHOPWA2!L59+MPLSHOPWA2!L59</f>
        <v>0</v>
      </c>
      <c r="M59" s="43">
        <f>Cornerstone!M60+SPOL!M59+Hamline!M59+BlueLine!M59+MPLSHOPWA1!M59+MPLSHOPWA2!M59+MPLSHOPWA2!M59</f>
        <v>0</v>
      </c>
      <c r="N59" s="43">
        <f>Cornerstone!N60+SPOL!N59+Hamline!N59+BlueLine!N59+MPLSHOPWA1!N59+MPLSHOPWA2!N59+MPLSHOPWA2!N59</f>
        <v>0</v>
      </c>
      <c r="O59" s="43">
        <f>Cornerstone!O60+SPOL!O59+Hamline!O59+BlueLine!O59+MPLSHOPWA1!O59+MPLSHOPWA2!O59+MPLSHOPWA2!O59</f>
        <v>0</v>
      </c>
      <c r="P59" s="43">
        <f t="shared" si="9"/>
        <v>0</v>
      </c>
    </row>
    <row r="60" spans="1:18" x14ac:dyDescent="0.3">
      <c r="A60" s="1"/>
      <c r="B60" s="2" t="s">
        <v>46</v>
      </c>
      <c r="D60" s="43">
        <f>Cornerstone!D61+SPOL!D60+Hamline!D60+BlueLine!D60+MPLSHOPWA1!D60+MPLSHOPWA2!D60+MPLSHOPWA2!D60</f>
        <v>0</v>
      </c>
      <c r="E60" s="43">
        <f>Cornerstone!E61+SPOL!E60+Hamline!E60+BlueLine!E60+MPLSHOPWA1!E60+MPLSHOPWA2!E60+MPLSHOPWA2!E60</f>
        <v>0</v>
      </c>
      <c r="F60" s="43">
        <f>Cornerstone!F61+SPOL!F60+Hamline!F60+BlueLine!F60+MPLSHOPWA1!F60+MPLSHOPWA2!F60+MPLSHOPWA2!F60</f>
        <v>0</v>
      </c>
      <c r="G60" s="43">
        <f>Cornerstone!G61+SPOL!G60+Hamline!G60+BlueLine!G60+MPLSHOPWA1!G60+MPLSHOPWA2!G60+MPLSHOPWA2!G60</f>
        <v>0</v>
      </c>
      <c r="H60" s="43">
        <f>Cornerstone!H61+SPOL!H60+Hamline!H60+BlueLine!H60+MPLSHOPWA1!H60+MPLSHOPWA2!H60+MPLSHOPWA2!H60</f>
        <v>0</v>
      </c>
      <c r="I60" s="43">
        <f>Cornerstone!I61+SPOL!I60+Hamline!I60+BlueLine!I60+MPLSHOPWA1!I60+MPLSHOPWA2!I60+MPLSHOPWA2!I60</f>
        <v>0</v>
      </c>
      <c r="J60" s="43">
        <f>Cornerstone!J61+SPOL!J60+Hamline!J60+BlueLine!J60+MPLSHOPWA1!J60+MPLSHOPWA2!J60+MPLSHOPWA2!J60</f>
        <v>0</v>
      </c>
      <c r="K60" s="43">
        <f>Cornerstone!K61+SPOL!K60+Hamline!K60+BlueLine!K60+MPLSHOPWA1!K60+MPLSHOPWA2!K60+MPLSHOPWA2!K60</f>
        <v>0</v>
      </c>
      <c r="L60" s="43">
        <f>Cornerstone!L61+SPOL!L60+Hamline!L60+BlueLine!L60+MPLSHOPWA1!L60+MPLSHOPWA2!L60+MPLSHOPWA2!L60</f>
        <v>0</v>
      </c>
      <c r="M60" s="43">
        <f>Cornerstone!M61+SPOL!M60+Hamline!M60+BlueLine!M60+MPLSHOPWA1!M60+MPLSHOPWA2!M60+MPLSHOPWA2!M60</f>
        <v>0</v>
      </c>
      <c r="N60" s="43">
        <f>Cornerstone!N61+SPOL!N60+Hamline!N60+BlueLine!N60+MPLSHOPWA1!N60+MPLSHOPWA2!N60+MPLSHOPWA2!N60</f>
        <v>0</v>
      </c>
      <c r="O60" s="43">
        <f>Cornerstone!O61+SPOL!O60+Hamline!O60+BlueLine!O60+MPLSHOPWA1!O60+MPLSHOPWA2!O60+MPLSHOPWA2!O60</f>
        <v>0</v>
      </c>
      <c r="P60" s="43">
        <f t="shared" si="9"/>
        <v>0</v>
      </c>
    </row>
    <row r="61" spans="1:18" x14ac:dyDescent="0.3">
      <c r="A61" s="1"/>
      <c r="B61" s="2" t="s">
        <v>47</v>
      </c>
      <c r="D61" s="43">
        <f>Cornerstone!D62+SPOL!D61+Hamline!D61+BlueLine!D61+MPLSHOPWA1!D61+MPLSHOPWA2!D61+MPLSHOPWA2!D61</f>
        <v>0</v>
      </c>
      <c r="E61" s="43">
        <f>Cornerstone!E62+SPOL!E61+Hamline!E61+BlueLine!E61+MPLSHOPWA1!E61+MPLSHOPWA2!E61+MPLSHOPWA2!E61</f>
        <v>0</v>
      </c>
      <c r="F61" s="43">
        <f>Cornerstone!F62+SPOL!F61+Hamline!F61+BlueLine!F61+MPLSHOPWA1!F61+MPLSHOPWA2!F61+MPLSHOPWA2!F61</f>
        <v>0</v>
      </c>
      <c r="G61" s="43">
        <f>Cornerstone!G62+SPOL!G61+Hamline!G61+BlueLine!G61+MPLSHOPWA1!G61+MPLSHOPWA2!G61+MPLSHOPWA2!G61</f>
        <v>0</v>
      </c>
      <c r="H61" s="43">
        <f>Cornerstone!H62+SPOL!H61+Hamline!H61+BlueLine!H61+MPLSHOPWA1!H61+MPLSHOPWA2!H61+MPLSHOPWA2!H61</f>
        <v>0</v>
      </c>
      <c r="I61" s="43">
        <f>Cornerstone!I62+SPOL!I61+Hamline!I61+BlueLine!I61+MPLSHOPWA1!I61+MPLSHOPWA2!I61+MPLSHOPWA2!I61</f>
        <v>0</v>
      </c>
      <c r="J61" s="43">
        <f>Cornerstone!J62+SPOL!J61+Hamline!J61+BlueLine!J61+MPLSHOPWA1!J61+MPLSHOPWA2!J61+MPLSHOPWA2!J61</f>
        <v>0</v>
      </c>
      <c r="K61" s="43">
        <f>Cornerstone!K62+SPOL!K61+Hamline!K61+BlueLine!K61+MPLSHOPWA1!K61+MPLSHOPWA2!K61+MPLSHOPWA2!K61</f>
        <v>0</v>
      </c>
      <c r="L61" s="43">
        <f>Cornerstone!L62+SPOL!L61+Hamline!L61+BlueLine!L61+MPLSHOPWA1!L61+MPLSHOPWA2!L61+MPLSHOPWA2!L61</f>
        <v>0</v>
      </c>
      <c r="M61" s="43">
        <f>Cornerstone!M62+SPOL!M61+Hamline!M61+BlueLine!M61+MPLSHOPWA1!M61+MPLSHOPWA2!M61+MPLSHOPWA2!M61</f>
        <v>0</v>
      </c>
      <c r="N61" s="43">
        <f>Cornerstone!N62+SPOL!N61+Hamline!N61+BlueLine!N61+MPLSHOPWA1!N61+MPLSHOPWA2!N61+MPLSHOPWA2!N61</f>
        <v>0</v>
      </c>
      <c r="O61" s="43">
        <f>Cornerstone!O62+SPOL!O61+Hamline!O61+BlueLine!O61+MPLSHOPWA1!O61+MPLSHOPWA2!O61+MPLSHOPWA2!O61</f>
        <v>0</v>
      </c>
      <c r="P61" s="43">
        <f t="shared" si="9"/>
        <v>0</v>
      </c>
    </row>
    <row r="62" spans="1:18" x14ac:dyDescent="0.3">
      <c r="A62" s="1"/>
      <c r="B62" s="2" t="s">
        <v>48</v>
      </c>
      <c r="D62" s="43">
        <f>Cornerstone!D63+SPOL!D62+Hamline!D62+BlueLine!D62+MPLSHOPWA1!D62+MPLSHOPWA2!D62+MPLSHOPWA2!D62</f>
        <v>0</v>
      </c>
      <c r="E62" s="43">
        <f>Cornerstone!E63+SPOL!E62+Hamline!E62+BlueLine!E62+MPLSHOPWA1!E62+MPLSHOPWA2!E62+MPLSHOPWA2!E62</f>
        <v>0</v>
      </c>
      <c r="F62" s="43">
        <f>Cornerstone!F63+SPOL!F62+Hamline!F62+BlueLine!F62+MPLSHOPWA1!F62+MPLSHOPWA2!F62+MPLSHOPWA2!F62</f>
        <v>0</v>
      </c>
      <c r="G62" s="43">
        <f>Cornerstone!G63+SPOL!G62+Hamline!G62+BlueLine!G62+MPLSHOPWA1!G62+MPLSHOPWA2!G62+MPLSHOPWA2!G62</f>
        <v>0</v>
      </c>
      <c r="H62" s="43">
        <f>Cornerstone!H63+SPOL!H62+Hamline!H62+BlueLine!H62+MPLSHOPWA1!H62+MPLSHOPWA2!H62+MPLSHOPWA2!H62</f>
        <v>0</v>
      </c>
      <c r="I62" s="43">
        <f>Cornerstone!I63+SPOL!I62+Hamline!I62+BlueLine!I62+MPLSHOPWA1!I62+MPLSHOPWA2!I62+MPLSHOPWA2!I62</f>
        <v>0</v>
      </c>
      <c r="J62" s="43">
        <f>Cornerstone!J63+SPOL!J62+Hamline!J62+BlueLine!J62+MPLSHOPWA1!J62+MPLSHOPWA2!J62+MPLSHOPWA2!J62</f>
        <v>0</v>
      </c>
      <c r="K62" s="43">
        <f>Cornerstone!K63+SPOL!K62+Hamline!K62+BlueLine!K62+MPLSHOPWA1!K62+MPLSHOPWA2!K62+MPLSHOPWA2!K62</f>
        <v>0</v>
      </c>
      <c r="L62" s="43">
        <f>Cornerstone!L63+SPOL!L62+Hamline!L62+BlueLine!L62+MPLSHOPWA1!L62+MPLSHOPWA2!L62+MPLSHOPWA2!L62</f>
        <v>0</v>
      </c>
      <c r="M62" s="43">
        <f>Cornerstone!M63+SPOL!M62+Hamline!M62+BlueLine!M62+MPLSHOPWA1!M62+MPLSHOPWA2!M62+MPLSHOPWA2!M62</f>
        <v>0</v>
      </c>
      <c r="N62" s="43">
        <f>Cornerstone!N63+SPOL!N62+Hamline!N62+BlueLine!N62+MPLSHOPWA1!N62+MPLSHOPWA2!N62+MPLSHOPWA2!N62</f>
        <v>0</v>
      </c>
      <c r="O62" s="43">
        <f>Cornerstone!O63+SPOL!O62+Hamline!O62+BlueLine!O62+MPLSHOPWA1!O62+MPLSHOPWA2!O62+MPLSHOPWA2!O62</f>
        <v>0</v>
      </c>
      <c r="P62" s="43">
        <f t="shared" si="9"/>
        <v>0</v>
      </c>
    </row>
    <row r="63" spans="1:18" x14ac:dyDescent="0.3">
      <c r="A63" s="1"/>
      <c r="B63" s="2" t="s">
        <v>49</v>
      </c>
      <c r="D63" s="43">
        <f>Cornerstone!D63+SPOL!D63+Hamline!D63+BlueLine!D63+MPLSHOPWA1!D63+MPLSHOPWA2!D63+MPLSHOPWA2!D63</f>
        <v>0</v>
      </c>
      <c r="E63" s="43">
        <f>Cornerstone!E63+SPOL!E63+Hamline!E63+BlueLine!E63+MPLSHOPWA1!E63+MPLSHOPWA2!E63+MPLSHOPWA2!E63</f>
        <v>0</v>
      </c>
      <c r="F63" s="43">
        <f>Cornerstone!F63+SPOL!F63+Hamline!F63+BlueLine!F63+MPLSHOPWA1!F63+MPLSHOPWA2!F63+MPLSHOPWA2!F63</f>
        <v>0</v>
      </c>
      <c r="G63" s="43">
        <f>Cornerstone!G63+SPOL!G63+Hamline!G63+BlueLine!G63+MPLSHOPWA1!G63+MPLSHOPWA2!G63+MPLSHOPWA2!G63</f>
        <v>0</v>
      </c>
      <c r="H63" s="43">
        <f>Cornerstone!H63+SPOL!H63+Hamline!H63+BlueLine!H63+MPLSHOPWA1!H63+MPLSHOPWA2!H63+MPLSHOPWA2!H63</f>
        <v>0</v>
      </c>
      <c r="I63" s="43">
        <f>Cornerstone!I63+SPOL!I63+Hamline!I63+BlueLine!I63+MPLSHOPWA1!I63+MPLSHOPWA2!I63+MPLSHOPWA2!I63</f>
        <v>0</v>
      </c>
      <c r="J63" s="43">
        <f>Cornerstone!J63+SPOL!J63+Hamline!J63+BlueLine!J63+MPLSHOPWA1!J63+MPLSHOPWA2!J63+MPLSHOPWA2!J63</f>
        <v>0</v>
      </c>
      <c r="K63" s="43">
        <f>Cornerstone!K63+SPOL!K63+Hamline!K63+BlueLine!K63+MPLSHOPWA1!K63+MPLSHOPWA2!K63+MPLSHOPWA2!K63</f>
        <v>0</v>
      </c>
      <c r="L63" s="43">
        <f>Cornerstone!L63+SPOL!L63+Hamline!L63+BlueLine!L63+MPLSHOPWA1!L63+MPLSHOPWA2!L63+MPLSHOPWA2!L63</f>
        <v>0</v>
      </c>
      <c r="M63" s="43">
        <f>Cornerstone!M63+SPOL!M63+Hamline!M63+BlueLine!M63+MPLSHOPWA1!M63+MPLSHOPWA2!M63+MPLSHOPWA2!M63</f>
        <v>0</v>
      </c>
      <c r="N63" s="43">
        <f>Cornerstone!N63+SPOL!N63+Hamline!N63+BlueLine!N63+MPLSHOPWA1!N63+MPLSHOPWA2!N63+MPLSHOPWA2!N63</f>
        <v>0</v>
      </c>
      <c r="O63" s="43">
        <f>Cornerstone!O63+SPOL!O63+Hamline!O63+BlueLine!O63+MPLSHOPWA1!O63+MPLSHOPWA2!O63+MPLSHOPWA2!O63</f>
        <v>0</v>
      </c>
      <c r="P63" s="43">
        <f t="shared" si="9"/>
        <v>0</v>
      </c>
    </row>
    <row r="64" spans="1:18" x14ac:dyDescent="0.3">
      <c r="A64" s="1"/>
      <c r="B64" s="2" t="s">
        <v>50</v>
      </c>
      <c r="D64" s="43">
        <f>Cornerstone!D64+SPOL!D64+Hamline!D64+BlueLine!D64+MPLSHOPWA1!D64+MPLSHOPWA2!D64+MPLSHOPWA2!D64</f>
        <v>0</v>
      </c>
      <c r="E64" s="43">
        <f>Cornerstone!E64+SPOL!E64+Hamline!E64+BlueLine!E64+MPLSHOPWA1!E64+MPLSHOPWA2!E64+MPLSHOPWA2!E64</f>
        <v>0</v>
      </c>
      <c r="F64" s="43">
        <f>Cornerstone!F64+SPOL!F64+Hamline!F64+BlueLine!F64+MPLSHOPWA1!F64+MPLSHOPWA2!F64+MPLSHOPWA2!F64</f>
        <v>0</v>
      </c>
      <c r="G64" s="43">
        <f>Cornerstone!G64+SPOL!G64+Hamline!G64+BlueLine!G64+MPLSHOPWA1!G64+MPLSHOPWA2!G64+MPLSHOPWA2!G64</f>
        <v>0</v>
      </c>
      <c r="H64" s="43">
        <f>Cornerstone!H64+SPOL!H64+Hamline!H64+BlueLine!H64+MPLSHOPWA1!H64+MPLSHOPWA2!H64+MPLSHOPWA2!H64</f>
        <v>0</v>
      </c>
      <c r="I64" s="43">
        <f>Cornerstone!I64+SPOL!I64+Hamline!I64+BlueLine!I64+MPLSHOPWA1!I64+MPLSHOPWA2!I64+MPLSHOPWA2!I64</f>
        <v>0</v>
      </c>
      <c r="J64" s="43">
        <f>Cornerstone!J64+SPOL!J64+Hamline!J64+BlueLine!J64+MPLSHOPWA1!J64+MPLSHOPWA2!J64+MPLSHOPWA2!J64</f>
        <v>0</v>
      </c>
      <c r="K64" s="43">
        <f>Cornerstone!K64+SPOL!K64+Hamline!K64+BlueLine!K64+MPLSHOPWA1!K64+MPLSHOPWA2!K64+MPLSHOPWA2!K64</f>
        <v>0</v>
      </c>
      <c r="L64" s="43">
        <f>Cornerstone!L64+SPOL!L64+Hamline!L64+BlueLine!L64+MPLSHOPWA1!L64+MPLSHOPWA2!L64+MPLSHOPWA2!L64</f>
        <v>0</v>
      </c>
      <c r="M64" s="43">
        <f>Cornerstone!M64+SPOL!M64+Hamline!M64+BlueLine!M64+MPLSHOPWA1!M64+MPLSHOPWA2!M64+MPLSHOPWA2!M64</f>
        <v>0</v>
      </c>
      <c r="N64" s="43">
        <f>Cornerstone!N64+SPOL!N64+Hamline!N64+BlueLine!N64+MPLSHOPWA1!N64+MPLSHOPWA2!N64+MPLSHOPWA2!N64</f>
        <v>0</v>
      </c>
      <c r="O64" s="43">
        <f>Cornerstone!O64+SPOL!O64+Hamline!O64+BlueLine!O64+MPLSHOPWA1!O64+MPLSHOPWA2!O64+MPLSHOPWA2!O64</f>
        <v>0</v>
      </c>
      <c r="P64" s="43">
        <f t="shared" si="9"/>
        <v>0</v>
      </c>
    </row>
    <row r="65" spans="1:16" x14ac:dyDescent="0.3">
      <c r="A65" s="1"/>
      <c r="B65" s="2" t="s">
        <v>51</v>
      </c>
      <c r="D65" s="43">
        <f>Cornerstone!D65+SPOL!D65+Hamline!D65+BlueLine!D65+MPLSHOPWA1!D65+MPLSHOPWA2!D65+MPLSHOPWA2!D65</f>
        <v>0</v>
      </c>
      <c r="E65" s="43">
        <f>Cornerstone!E65+SPOL!E65+Hamline!E65+BlueLine!E65+MPLSHOPWA1!E65+MPLSHOPWA2!E65+MPLSHOPWA2!E65</f>
        <v>0</v>
      </c>
      <c r="F65" s="43">
        <f>Cornerstone!F65+SPOL!F65+Hamline!F65+BlueLine!F65+MPLSHOPWA1!F65+MPLSHOPWA2!F65+MPLSHOPWA2!F65</f>
        <v>0</v>
      </c>
      <c r="G65" s="43">
        <f>Cornerstone!G65+SPOL!G65+Hamline!G65+BlueLine!G65+MPLSHOPWA1!G65+MPLSHOPWA2!G65+MPLSHOPWA2!G65</f>
        <v>0</v>
      </c>
      <c r="H65" s="43">
        <f>Cornerstone!H65+SPOL!H65+Hamline!H65+BlueLine!H65+MPLSHOPWA1!H65+MPLSHOPWA2!H65+MPLSHOPWA2!H65</f>
        <v>0</v>
      </c>
      <c r="I65" s="43">
        <f>Cornerstone!I65+SPOL!I65+Hamline!I65+BlueLine!I65+MPLSHOPWA1!I65+MPLSHOPWA2!I65+MPLSHOPWA2!I65</f>
        <v>0</v>
      </c>
      <c r="J65" s="43">
        <f>Cornerstone!J65+SPOL!J65+Hamline!J65+BlueLine!J65+MPLSHOPWA1!J65+MPLSHOPWA2!J65+MPLSHOPWA2!J65</f>
        <v>0</v>
      </c>
      <c r="K65" s="43">
        <f>Cornerstone!K65+SPOL!K65+Hamline!K65+BlueLine!K65+MPLSHOPWA1!K65+MPLSHOPWA2!K65+MPLSHOPWA2!K65</f>
        <v>0</v>
      </c>
      <c r="L65" s="43">
        <f>Cornerstone!L65+SPOL!L65+Hamline!L65+BlueLine!L65+MPLSHOPWA1!L65+MPLSHOPWA2!L65+MPLSHOPWA2!L65</f>
        <v>0</v>
      </c>
      <c r="M65" s="43">
        <f>Cornerstone!M65+SPOL!M65+Hamline!M65+BlueLine!M65+MPLSHOPWA1!M65+MPLSHOPWA2!M65+MPLSHOPWA2!M65</f>
        <v>0</v>
      </c>
      <c r="N65" s="43">
        <f>Cornerstone!N65+SPOL!N65+Hamline!N65+BlueLine!N65+MPLSHOPWA1!N65+MPLSHOPWA2!N65+MPLSHOPWA2!N65</f>
        <v>0</v>
      </c>
      <c r="O65" s="43">
        <f>Cornerstone!O65+SPOL!O65+Hamline!O65+BlueLine!O65+MPLSHOPWA1!O65+MPLSHOPWA2!O65+MPLSHOPWA2!O65</f>
        <v>0</v>
      </c>
      <c r="P65" s="43">
        <f t="shared" si="9"/>
        <v>0</v>
      </c>
    </row>
    <row r="66" spans="1:16" x14ac:dyDescent="0.3">
      <c r="A66" s="1"/>
      <c r="B66" s="2" t="s">
        <v>52</v>
      </c>
      <c r="D66" s="43">
        <f>Cornerstone!D66+SPOL!D65+Hamline!D65+BlueLine!D65+MPLSHOPWA1!D65+MPLSHOPWA2!D65+MPLSHOPWA2!D65</f>
        <v>0</v>
      </c>
      <c r="E66" s="43">
        <f>Cornerstone!E66+SPOL!E65+Hamline!E65+BlueLine!E65+MPLSHOPWA1!E65+MPLSHOPWA2!E65+MPLSHOPWA2!E65</f>
        <v>0</v>
      </c>
      <c r="F66" s="43">
        <f>Cornerstone!F66+SPOL!F65+Hamline!F65+BlueLine!F65+MPLSHOPWA1!F65+MPLSHOPWA2!F65+MPLSHOPWA2!F65</f>
        <v>0</v>
      </c>
      <c r="G66" s="43">
        <f>Cornerstone!G66+SPOL!G65+Hamline!G65+BlueLine!G65+MPLSHOPWA1!G65+MPLSHOPWA2!G65+MPLSHOPWA2!G65</f>
        <v>0</v>
      </c>
      <c r="H66" s="43">
        <f>Cornerstone!H66+SPOL!H65+Hamline!H65+BlueLine!H65+MPLSHOPWA1!H65+MPLSHOPWA2!H65+MPLSHOPWA2!H65</f>
        <v>0</v>
      </c>
      <c r="I66" s="43">
        <f>Cornerstone!I66+SPOL!I65+Hamline!I65+BlueLine!I65+MPLSHOPWA1!I65+MPLSHOPWA2!I65+MPLSHOPWA2!I65</f>
        <v>0</v>
      </c>
      <c r="J66" s="43">
        <f>Cornerstone!J66+SPOL!J65+Hamline!J65+BlueLine!J65+MPLSHOPWA1!J65+MPLSHOPWA2!J65+MPLSHOPWA2!J65</f>
        <v>0</v>
      </c>
      <c r="K66" s="43">
        <f>Cornerstone!K66+SPOL!K65+Hamline!K65+BlueLine!K65+MPLSHOPWA1!K65+MPLSHOPWA2!K65+MPLSHOPWA2!K65</f>
        <v>0</v>
      </c>
      <c r="L66" s="43">
        <f>Cornerstone!L66+SPOL!L65+Hamline!L65+BlueLine!L65+MPLSHOPWA1!L65+MPLSHOPWA2!L65+MPLSHOPWA2!L65</f>
        <v>0</v>
      </c>
      <c r="M66" s="43">
        <f>Cornerstone!M66+SPOL!M65+Hamline!M65+BlueLine!M65+MPLSHOPWA1!M65+MPLSHOPWA2!M65+MPLSHOPWA2!M65</f>
        <v>0</v>
      </c>
      <c r="N66" s="43">
        <f>Cornerstone!N66+SPOL!N65+Hamline!N65+BlueLine!N65+MPLSHOPWA1!N65+MPLSHOPWA2!N65+MPLSHOPWA2!N65</f>
        <v>0</v>
      </c>
      <c r="O66" s="43">
        <f>Cornerstone!O66+SPOL!O65+Hamline!O65+BlueLine!O65+MPLSHOPWA1!O65+MPLSHOPWA2!O65+MPLSHOPWA2!O65</f>
        <v>0</v>
      </c>
      <c r="P66" s="43">
        <f t="shared" si="9"/>
        <v>0</v>
      </c>
    </row>
    <row r="67" spans="1:16" x14ac:dyDescent="0.3">
      <c r="A67" s="1"/>
      <c r="B67" s="2" t="s">
        <v>53</v>
      </c>
      <c r="D67" s="43">
        <f>Cornerstone!D67+SPOL!D66+Hamline!D66+BlueLine!D66+MPLSHOPWA1!D66+MPLSHOPWA2!D66+MPLSHOPWA2!D66</f>
        <v>95</v>
      </c>
      <c r="E67" s="43">
        <f>Cornerstone!E67+SPOL!E66+Hamline!E66+BlueLine!E66+MPLSHOPWA1!E66+MPLSHOPWA2!E66+MPLSHOPWA2!E66</f>
        <v>95</v>
      </c>
      <c r="F67" s="43">
        <f>Cornerstone!F67+SPOL!F66+Hamline!F66+BlueLine!F66+MPLSHOPWA1!F66+MPLSHOPWA2!F66+MPLSHOPWA2!F66</f>
        <v>95</v>
      </c>
      <c r="G67" s="43">
        <f>Cornerstone!G67+SPOL!G66+Hamline!G66+BlueLine!G66+MPLSHOPWA1!G66+MPLSHOPWA2!G66+MPLSHOPWA2!G66</f>
        <v>95</v>
      </c>
      <c r="H67" s="43">
        <f>Cornerstone!H67+SPOL!H66+Hamline!H66+BlueLine!H66+MPLSHOPWA1!H66+MPLSHOPWA2!H66+MPLSHOPWA2!H66</f>
        <v>95</v>
      </c>
      <c r="I67" s="43">
        <f>Cornerstone!I67+SPOL!I66+Hamline!I66+BlueLine!I66+MPLSHOPWA1!I66+MPLSHOPWA2!I66+MPLSHOPWA2!I66</f>
        <v>95</v>
      </c>
      <c r="J67" s="43">
        <f>Cornerstone!J67+SPOL!J66+Hamline!J66+BlueLine!J66+MPLSHOPWA1!J66+MPLSHOPWA2!J66+MPLSHOPWA2!J66</f>
        <v>95</v>
      </c>
      <c r="K67" s="43">
        <f>Cornerstone!K67+SPOL!K66+Hamline!K66+BlueLine!K66+MPLSHOPWA1!K66+MPLSHOPWA2!K66+MPLSHOPWA2!K66</f>
        <v>95</v>
      </c>
      <c r="L67" s="43">
        <f>Cornerstone!L67+SPOL!L66+Hamline!L66+BlueLine!L66+MPLSHOPWA1!L66+MPLSHOPWA2!L66+MPLSHOPWA2!L66</f>
        <v>95</v>
      </c>
      <c r="M67" s="43">
        <f>Cornerstone!M67+SPOL!M66+Hamline!M66+BlueLine!M66+MPLSHOPWA1!M66+MPLSHOPWA2!M66+MPLSHOPWA2!M66</f>
        <v>95</v>
      </c>
      <c r="N67" s="43">
        <f>Cornerstone!N67+SPOL!N66+Hamline!N66+BlueLine!N66+MPLSHOPWA1!N66+MPLSHOPWA2!N66+MPLSHOPWA2!N66</f>
        <v>95</v>
      </c>
      <c r="O67" s="43">
        <f>Cornerstone!O67+SPOL!O66+Hamline!O66+BlueLine!O66+MPLSHOPWA1!O66+MPLSHOPWA2!O66+MPLSHOPWA2!O66</f>
        <v>95</v>
      </c>
      <c r="P67" s="43">
        <f t="shared" si="9"/>
        <v>1140</v>
      </c>
    </row>
    <row r="68" spans="1:16" x14ac:dyDescent="0.3">
      <c r="A68" s="1"/>
      <c r="B68" s="2" t="s">
        <v>54</v>
      </c>
      <c r="D68" s="43">
        <f>Cornerstone!D69+SPOL!D68+Hamline!D68+BlueLine!D68+MPLSHOPWA1!D68+MPLSHOPWA2!D68+MPLSHOPWA2!D68</f>
        <v>0</v>
      </c>
      <c r="E68" s="43">
        <f>Cornerstone!E69+SPOL!E68+Hamline!E68+BlueLine!E68+MPLSHOPWA1!E68+MPLSHOPWA2!E68+MPLSHOPWA2!E68</f>
        <v>0</v>
      </c>
      <c r="F68" s="43">
        <f>Cornerstone!F69+SPOL!F68+Hamline!F68+BlueLine!F68+MPLSHOPWA1!F68+MPLSHOPWA2!F68+MPLSHOPWA2!F68</f>
        <v>0</v>
      </c>
      <c r="G68" s="43">
        <f>Cornerstone!G69+SPOL!G68+Hamline!G68+BlueLine!G68+MPLSHOPWA1!G68+MPLSHOPWA2!G68+MPLSHOPWA2!G68</f>
        <v>0</v>
      </c>
      <c r="H68" s="43">
        <f>Cornerstone!H69+SPOL!H68+Hamline!H68+BlueLine!H68+MPLSHOPWA1!H68+MPLSHOPWA2!H68+MPLSHOPWA2!H68</f>
        <v>0</v>
      </c>
      <c r="I68" s="43">
        <f>Cornerstone!I69+SPOL!I68+Hamline!I68+BlueLine!I68+MPLSHOPWA1!I68+MPLSHOPWA2!I68+MPLSHOPWA2!I68</f>
        <v>0</v>
      </c>
      <c r="J68" s="43">
        <f>Cornerstone!J69+SPOL!J68+Hamline!J68+BlueLine!J68+MPLSHOPWA1!J68+MPLSHOPWA2!J68+MPLSHOPWA2!J68</f>
        <v>0</v>
      </c>
      <c r="K68" s="43">
        <f>Cornerstone!K69+SPOL!K68+Hamline!K68+BlueLine!K68+MPLSHOPWA1!K68+MPLSHOPWA2!K68+MPLSHOPWA2!K68</f>
        <v>0</v>
      </c>
      <c r="L68" s="43">
        <f>Cornerstone!L69+SPOL!L68+Hamline!L68+BlueLine!L68+MPLSHOPWA1!L68+MPLSHOPWA2!L68+MPLSHOPWA2!L68</f>
        <v>0</v>
      </c>
      <c r="M68" s="43">
        <f>Cornerstone!M69+SPOL!M68+Hamline!M68+BlueLine!M68+MPLSHOPWA1!M68+MPLSHOPWA2!M68+MPLSHOPWA2!M68</f>
        <v>0</v>
      </c>
      <c r="N68" s="43">
        <f>Cornerstone!N69+SPOL!N68+Hamline!N68+BlueLine!N68+MPLSHOPWA1!N68+MPLSHOPWA2!N68+MPLSHOPWA2!N68</f>
        <v>0</v>
      </c>
      <c r="O68" s="43">
        <f>Cornerstone!O69+SPOL!O68+Hamline!O68+BlueLine!O68+MPLSHOPWA1!O68+MPLSHOPWA2!O68+MPLSHOPWA2!O68</f>
        <v>0</v>
      </c>
      <c r="P68" s="43">
        <f t="shared" si="9"/>
        <v>0</v>
      </c>
    </row>
    <row r="69" spans="1:16" x14ac:dyDescent="0.3">
      <c r="A69" s="1"/>
      <c r="B69" s="2" t="s">
        <v>55</v>
      </c>
      <c r="D69" s="43">
        <f>Cornerstone!D70+SPOL!D69+Hamline!D69+BlueLine!D69+MPLSHOPWA1!D69+MPLSHOPWA2!D69+MPLSHOPWA2!D69</f>
        <v>0</v>
      </c>
      <c r="E69" s="43">
        <f>Cornerstone!E70+SPOL!E69+Hamline!E69+BlueLine!E69+MPLSHOPWA1!E69+MPLSHOPWA2!E69+MPLSHOPWA2!E69</f>
        <v>0</v>
      </c>
      <c r="F69" s="43">
        <f>Cornerstone!F70+SPOL!F69+Hamline!F69+BlueLine!F69+MPLSHOPWA1!F69+MPLSHOPWA2!F69+MPLSHOPWA2!F69</f>
        <v>0</v>
      </c>
      <c r="G69" s="43">
        <f>Cornerstone!G70+SPOL!G69+Hamline!G69+BlueLine!G69+MPLSHOPWA1!G69+MPLSHOPWA2!G69+MPLSHOPWA2!G69</f>
        <v>0</v>
      </c>
      <c r="H69" s="43">
        <f>Cornerstone!H70+SPOL!H69+Hamline!H69+BlueLine!H69+MPLSHOPWA1!H69+MPLSHOPWA2!H69+MPLSHOPWA2!H69</f>
        <v>0</v>
      </c>
      <c r="I69" s="43">
        <f>Cornerstone!I70+SPOL!I69+Hamline!I69+BlueLine!I69+MPLSHOPWA1!I69+MPLSHOPWA2!I69+MPLSHOPWA2!I69</f>
        <v>0</v>
      </c>
      <c r="J69" s="43">
        <f>Cornerstone!J70+SPOL!J69+Hamline!J69+BlueLine!J69+MPLSHOPWA1!J69+MPLSHOPWA2!J69+MPLSHOPWA2!J69</f>
        <v>0</v>
      </c>
      <c r="K69" s="43">
        <f>Cornerstone!K70+SPOL!K69+Hamline!K69+BlueLine!K69+MPLSHOPWA1!K69+MPLSHOPWA2!K69+MPLSHOPWA2!K69</f>
        <v>0</v>
      </c>
      <c r="L69" s="43">
        <f>Cornerstone!L70+SPOL!L69+Hamline!L69+BlueLine!L69+MPLSHOPWA1!L69+MPLSHOPWA2!L69+MPLSHOPWA2!L69</f>
        <v>0</v>
      </c>
      <c r="M69" s="43">
        <f>Cornerstone!M70+SPOL!M69+Hamline!M69+BlueLine!M69+MPLSHOPWA1!M69+MPLSHOPWA2!M69+MPLSHOPWA2!M69</f>
        <v>0</v>
      </c>
      <c r="N69" s="43">
        <f>Cornerstone!N70+SPOL!N69+Hamline!N69+BlueLine!N69+MPLSHOPWA1!N69+MPLSHOPWA2!N69+MPLSHOPWA2!N69</f>
        <v>0</v>
      </c>
      <c r="O69" s="43">
        <f>Cornerstone!O70+SPOL!O69+Hamline!O69+BlueLine!O69+MPLSHOPWA1!O69+MPLSHOPWA2!O69+MPLSHOPWA2!O69</f>
        <v>0</v>
      </c>
      <c r="P69" s="43">
        <f t="shared" si="9"/>
        <v>0</v>
      </c>
    </row>
    <row r="70" spans="1:16" x14ac:dyDescent="0.3">
      <c r="A70" s="1"/>
      <c r="B70" s="2" t="s">
        <v>56</v>
      </c>
      <c r="D70" s="43">
        <f>Cornerstone!D71+SPOL!D70+Hamline!D70+BlueLine!D70+MPLSHOPWA1!D70+MPLSHOPWA2!D70+MPLSHOPWA2!D70</f>
        <v>280</v>
      </c>
      <c r="E70" s="43">
        <f>Cornerstone!E71+SPOL!E70+Hamline!E70+BlueLine!E70+MPLSHOPWA1!E70+MPLSHOPWA2!E70+MPLSHOPWA2!E70</f>
        <v>280</v>
      </c>
      <c r="F70" s="43">
        <f>Cornerstone!F71+SPOL!F70+Hamline!F70+BlueLine!F70+MPLSHOPWA1!F70+MPLSHOPWA2!F70+MPLSHOPWA2!F70</f>
        <v>280</v>
      </c>
      <c r="G70" s="43">
        <f>Cornerstone!G71+SPOL!G70+Hamline!G70+BlueLine!G70+MPLSHOPWA1!G70+MPLSHOPWA2!G70+MPLSHOPWA2!G70</f>
        <v>280</v>
      </c>
      <c r="H70" s="43">
        <f>Cornerstone!H71+SPOL!H70+Hamline!H70+BlueLine!H70+MPLSHOPWA1!H70+MPLSHOPWA2!H70+MPLSHOPWA2!H70</f>
        <v>280</v>
      </c>
      <c r="I70" s="43">
        <f>Cornerstone!I71+SPOL!I70+Hamline!I70+BlueLine!I70+MPLSHOPWA1!I70+MPLSHOPWA2!I70+MPLSHOPWA2!I70</f>
        <v>280</v>
      </c>
      <c r="J70" s="43">
        <f>Cornerstone!J71+SPOL!J70+Hamline!J70+BlueLine!J70+MPLSHOPWA1!J70+MPLSHOPWA2!J70+MPLSHOPWA2!J70</f>
        <v>280</v>
      </c>
      <c r="K70" s="43">
        <f>Cornerstone!K71+SPOL!K70+Hamline!K70+BlueLine!K70+MPLSHOPWA1!K70+MPLSHOPWA2!K70+MPLSHOPWA2!K70</f>
        <v>280</v>
      </c>
      <c r="L70" s="43">
        <f>Cornerstone!L71+SPOL!L70+Hamline!L70+BlueLine!L70+MPLSHOPWA1!L70+MPLSHOPWA2!L70+MPLSHOPWA2!L70</f>
        <v>280</v>
      </c>
      <c r="M70" s="43">
        <f>Cornerstone!M71+SPOL!M70+Hamline!M70+BlueLine!M70+MPLSHOPWA1!M70+MPLSHOPWA2!M70+MPLSHOPWA2!M70</f>
        <v>280</v>
      </c>
      <c r="N70" s="43">
        <f>Cornerstone!N71+SPOL!N70+Hamline!N70+BlueLine!N70+MPLSHOPWA1!N70+MPLSHOPWA2!N70+MPLSHOPWA2!N70</f>
        <v>280</v>
      </c>
      <c r="O70" s="43">
        <f>Cornerstone!O71+SPOL!O70+Hamline!O70+BlueLine!O70+MPLSHOPWA1!O70+MPLSHOPWA2!O70+MPLSHOPWA2!O70</f>
        <v>280</v>
      </c>
      <c r="P70" s="43">
        <f t="shared" si="9"/>
        <v>3360</v>
      </c>
    </row>
    <row r="71" spans="1:16" x14ac:dyDescent="0.3">
      <c r="A71" s="1"/>
      <c r="B71" s="2" t="s">
        <v>57</v>
      </c>
      <c r="D71" s="43">
        <f>Cornerstone!D72+SPOL!D71+Hamline!D71+BlueLine!D71+MPLSHOPWA1!D71+MPLSHOPWA2!D71+MPLSHOPWA2!D71</f>
        <v>0</v>
      </c>
      <c r="E71" s="43">
        <f>Cornerstone!E72+SPOL!E71+Hamline!E71+BlueLine!E71+MPLSHOPWA1!E71+MPLSHOPWA2!E71+MPLSHOPWA2!E71</f>
        <v>0</v>
      </c>
      <c r="F71" s="43">
        <f>Cornerstone!F72+SPOL!F71+Hamline!F71+BlueLine!F71+MPLSHOPWA1!F71+MPLSHOPWA2!F71+MPLSHOPWA2!F71</f>
        <v>0</v>
      </c>
      <c r="G71" s="43">
        <f>Cornerstone!G72+SPOL!G71+Hamline!G71+BlueLine!G71+MPLSHOPWA1!G71+MPLSHOPWA2!G71+MPLSHOPWA2!G71</f>
        <v>0</v>
      </c>
      <c r="H71" s="43">
        <f>Cornerstone!H72+SPOL!H71+Hamline!H71+BlueLine!H71+MPLSHOPWA1!H71+MPLSHOPWA2!H71+MPLSHOPWA2!H71</f>
        <v>0</v>
      </c>
      <c r="I71" s="43">
        <f>Cornerstone!I72+SPOL!I71+Hamline!I71+BlueLine!I71+MPLSHOPWA1!I71+MPLSHOPWA2!I71+MPLSHOPWA2!I71</f>
        <v>0</v>
      </c>
      <c r="J71" s="43">
        <f>Cornerstone!J72+SPOL!J71+Hamline!J71+BlueLine!J71+MPLSHOPWA1!J71+MPLSHOPWA2!J71+MPLSHOPWA2!J71</f>
        <v>0</v>
      </c>
      <c r="K71" s="43">
        <f>Cornerstone!K72+SPOL!K71+Hamline!K71+BlueLine!K71+MPLSHOPWA1!K71+MPLSHOPWA2!K71+MPLSHOPWA2!K71</f>
        <v>0</v>
      </c>
      <c r="L71" s="43">
        <f>Cornerstone!L72+SPOL!L71+Hamline!L71+BlueLine!L71+MPLSHOPWA1!L71+MPLSHOPWA2!L71+MPLSHOPWA2!L71</f>
        <v>0</v>
      </c>
      <c r="M71" s="43">
        <f>Cornerstone!M72+SPOL!M71+Hamline!M71+BlueLine!M71+MPLSHOPWA1!M71+MPLSHOPWA2!M71+MPLSHOPWA2!M71</f>
        <v>0</v>
      </c>
      <c r="N71" s="43">
        <f>Cornerstone!N72+SPOL!N71+Hamline!N71+BlueLine!N71+MPLSHOPWA1!N71+MPLSHOPWA2!N71+MPLSHOPWA2!N71</f>
        <v>0</v>
      </c>
      <c r="O71" s="43">
        <f>Cornerstone!O72+SPOL!O71+Hamline!O71+BlueLine!O71+MPLSHOPWA1!O71+MPLSHOPWA2!O71+MPLSHOPWA2!O71</f>
        <v>0</v>
      </c>
      <c r="P71" s="43">
        <f t="shared" si="9"/>
        <v>0</v>
      </c>
    </row>
    <row r="72" spans="1:16" x14ac:dyDescent="0.3">
      <c r="A72" s="1"/>
      <c r="B72" s="2" t="s">
        <v>58</v>
      </c>
      <c r="D72" s="43">
        <f>Cornerstone!D73+SPOL!D72+Hamline!D72+BlueLine!D72+MPLSHOPWA1!D72+MPLSHOPWA2!D72+MPLSHOPWA2!D72</f>
        <v>0</v>
      </c>
      <c r="E72" s="43">
        <f>Cornerstone!E73+SPOL!E72+Hamline!E72+BlueLine!E72+MPLSHOPWA1!E72+MPLSHOPWA2!E72+MPLSHOPWA2!E72</f>
        <v>0</v>
      </c>
      <c r="F72" s="43">
        <f>Cornerstone!F73+SPOL!F72+Hamline!F72+BlueLine!F72+MPLSHOPWA1!F72+MPLSHOPWA2!F72+MPLSHOPWA2!F72</f>
        <v>0</v>
      </c>
      <c r="G72" s="43">
        <f>Cornerstone!G73+SPOL!G72+Hamline!G72+BlueLine!G72+MPLSHOPWA1!G72+MPLSHOPWA2!G72+MPLSHOPWA2!G72</f>
        <v>0</v>
      </c>
      <c r="H72" s="43">
        <f>Cornerstone!H73+SPOL!H72+Hamline!H72+BlueLine!H72+MPLSHOPWA1!H72+MPLSHOPWA2!H72+MPLSHOPWA2!H72</f>
        <v>0</v>
      </c>
      <c r="I72" s="43">
        <f>Cornerstone!I73+SPOL!I72+Hamline!I72+BlueLine!I72+MPLSHOPWA1!I72+MPLSHOPWA2!I72+MPLSHOPWA2!I72</f>
        <v>0</v>
      </c>
      <c r="J72" s="43">
        <f>Cornerstone!J73+SPOL!J72+Hamline!J72+BlueLine!J72+MPLSHOPWA1!J72+MPLSHOPWA2!J72+MPLSHOPWA2!J72</f>
        <v>0</v>
      </c>
      <c r="K72" s="43">
        <f>Cornerstone!K73+SPOL!K72+Hamline!K72+BlueLine!K72+MPLSHOPWA1!K72+MPLSHOPWA2!K72+MPLSHOPWA2!K72</f>
        <v>0</v>
      </c>
      <c r="L72" s="43">
        <f>Cornerstone!L73+SPOL!L72+Hamline!L72+BlueLine!L72+MPLSHOPWA1!L72+MPLSHOPWA2!L72+MPLSHOPWA2!L72</f>
        <v>0</v>
      </c>
      <c r="M72" s="43">
        <f>Cornerstone!M73+SPOL!M72+Hamline!M72+BlueLine!M72+MPLSHOPWA1!M72+MPLSHOPWA2!M72+MPLSHOPWA2!M72</f>
        <v>0</v>
      </c>
      <c r="N72" s="43">
        <f>Cornerstone!N73+SPOL!N72+Hamline!N72+BlueLine!N72+MPLSHOPWA1!N72+MPLSHOPWA2!N72+MPLSHOPWA2!N72</f>
        <v>0</v>
      </c>
      <c r="O72" s="43">
        <f>Cornerstone!O73+SPOL!O72+Hamline!O72+BlueLine!O72+MPLSHOPWA1!O72+MPLSHOPWA2!O72+MPLSHOPWA2!O72</f>
        <v>0</v>
      </c>
      <c r="P72" s="43">
        <f t="shared" si="9"/>
        <v>0</v>
      </c>
    </row>
    <row r="73" spans="1:16" x14ac:dyDescent="0.3">
      <c r="A73" s="1"/>
      <c r="B73" s="2" t="s">
        <v>59</v>
      </c>
      <c r="D73" s="43">
        <f>Cornerstone!D74+SPOL!D73+Hamline!D73+BlueLine!D73+MPLSHOPWA1!D73+MPLSHOPWA2!D73+MPLSHOPWA2!D73</f>
        <v>0</v>
      </c>
      <c r="E73" s="43">
        <f>Cornerstone!E74+SPOL!E73+Hamline!E73+BlueLine!E73+MPLSHOPWA1!E73+MPLSHOPWA2!E73+MPLSHOPWA2!E73</f>
        <v>0</v>
      </c>
      <c r="F73" s="43">
        <f>Cornerstone!F74+SPOL!F73+Hamline!F73+BlueLine!F73+MPLSHOPWA1!F73+MPLSHOPWA2!F73+MPLSHOPWA2!F73</f>
        <v>0</v>
      </c>
      <c r="G73" s="43">
        <f>Cornerstone!G74+SPOL!G73+Hamline!G73+BlueLine!G73+MPLSHOPWA1!G73+MPLSHOPWA2!G73+MPLSHOPWA2!G73</f>
        <v>0</v>
      </c>
      <c r="H73" s="43">
        <f>Cornerstone!H74+SPOL!H73+Hamline!H73+BlueLine!H73+MPLSHOPWA1!H73+MPLSHOPWA2!H73+MPLSHOPWA2!H73</f>
        <v>0</v>
      </c>
      <c r="I73" s="43">
        <f>Cornerstone!I74+SPOL!I73+Hamline!I73+BlueLine!I73+MPLSHOPWA1!I73+MPLSHOPWA2!I73+MPLSHOPWA2!I73</f>
        <v>0</v>
      </c>
      <c r="J73" s="43">
        <f>Cornerstone!J74+SPOL!J73+Hamline!J73+BlueLine!J73+MPLSHOPWA1!J73+MPLSHOPWA2!J73+MPLSHOPWA2!J73</f>
        <v>0</v>
      </c>
      <c r="K73" s="43">
        <f>Cornerstone!K74+SPOL!K73+Hamline!K73+BlueLine!K73+MPLSHOPWA1!K73+MPLSHOPWA2!K73+MPLSHOPWA2!K73</f>
        <v>0</v>
      </c>
      <c r="L73" s="43">
        <f>Cornerstone!L74+SPOL!L73+Hamline!L73+BlueLine!L73+MPLSHOPWA1!L73+MPLSHOPWA2!L73+MPLSHOPWA2!L73</f>
        <v>0</v>
      </c>
      <c r="M73" s="43">
        <f>Cornerstone!M74+SPOL!M73+Hamline!M73+BlueLine!M73+MPLSHOPWA1!M73+MPLSHOPWA2!M73+MPLSHOPWA2!M73</f>
        <v>0</v>
      </c>
      <c r="N73" s="43">
        <f>Cornerstone!N74+SPOL!N73+Hamline!N73+BlueLine!N73+MPLSHOPWA1!N73+MPLSHOPWA2!N73+MPLSHOPWA2!N73</f>
        <v>0</v>
      </c>
      <c r="O73" s="43">
        <f>Cornerstone!O74+SPOL!O73+Hamline!O73+BlueLine!O73+MPLSHOPWA1!O73+MPLSHOPWA2!O73+MPLSHOPWA2!O73</f>
        <v>0</v>
      </c>
      <c r="P73" s="43">
        <f t="shared" si="9"/>
        <v>0</v>
      </c>
    </row>
    <row r="74" spans="1:16" x14ac:dyDescent="0.3">
      <c r="A74" s="1"/>
      <c r="B74" s="2" t="s">
        <v>60</v>
      </c>
      <c r="D74" s="43">
        <f>Cornerstone!D75+SPOL!D74+Hamline!D74+BlueLine!D74+MPLSHOPWA1!D74+MPLSHOPWA2!D74+MPLSHOPWA2!D74</f>
        <v>0</v>
      </c>
      <c r="E74" s="43">
        <f>Cornerstone!E75+SPOL!E74+Hamline!E74+BlueLine!E74+MPLSHOPWA1!E74+MPLSHOPWA2!E74+MPLSHOPWA2!E74</f>
        <v>0</v>
      </c>
      <c r="F74" s="43">
        <f>Cornerstone!F75+SPOL!F74+Hamline!F74+BlueLine!F74+MPLSHOPWA1!F74+MPLSHOPWA2!F74+MPLSHOPWA2!F74</f>
        <v>0</v>
      </c>
      <c r="G74" s="43">
        <f>Cornerstone!G75+SPOL!G74+Hamline!G74+BlueLine!G74+MPLSHOPWA1!G74+MPLSHOPWA2!G74+MPLSHOPWA2!G74</f>
        <v>0</v>
      </c>
      <c r="H74" s="43">
        <f>Cornerstone!H75+SPOL!H74+Hamline!H74+BlueLine!H74+MPLSHOPWA1!H74+MPLSHOPWA2!H74+MPLSHOPWA2!H74</f>
        <v>0</v>
      </c>
      <c r="I74" s="43">
        <f>Cornerstone!I75+SPOL!I74+Hamline!I74+BlueLine!I74+MPLSHOPWA1!I74+MPLSHOPWA2!I74+MPLSHOPWA2!I74</f>
        <v>0</v>
      </c>
      <c r="J74" s="43">
        <f>Cornerstone!J75+SPOL!J74+Hamline!J74+BlueLine!J74+MPLSHOPWA1!J74+MPLSHOPWA2!J74+MPLSHOPWA2!J74</f>
        <v>0</v>
      </c>
      <c r="K74" s="43">
        <f>Cornerstone!K75+SPOL!K74+Hamline!K74+BlueLine!K74+MPLSHOPWA1!K74+MPLSHOPWA2!K74+MPLSHOPWA2!K74</f>
        <v>0</v>
      </c>
      <c r="L74" s="43">
        <f>Cornerstone!L75+SPOL!L74+Hamline!L74+BlueLine!L74+MPLSHOPWA1!L74+MPLSHOPWA2!L74+MPLSHOPWA2!L74</f>
        <v>0</v>
      </c>
      <c r="M74" s="43">
        <f>Cornerstone!M75+SPOL!M74+Hamline!M74+BlueLine!M74+MPLSHOPWA1!M74+MPLSHOPWA2!M74+MPLSHOPWA2!M74</f>
        <v>0</v>
      </c>
      <c r="N74" s="43">
        <f>Cornerstone!N75+SPOL!N74+Hamline!N74+BlueLine!N74+MPLSHOPWA1!N74+MPLSHOPWA2!N74+MPLSHOPWA2!N74</f>
        <v>0</v>
      </c>
      <c r="O74" s="43">
        <f>Cornerstone!O75+SPOL!O74+Hamline!O74+BlueLine!O74+MPLSHOPWA1!O74+MPLSHOPWA2!O74+MPLSHOPWA2!O74</f>
        <v>0</v>
      </c>
      <c r="P74" s="43">
        <f t="shared" si="9"/>
        <v>0</v>
      </c>
    </row>
    <row r="75" spans="1:16" x14ac:dyDescent="0.3">
      <c r="A75" s="1"/>
      <c r="B75" s="2" t="s">
        <v>61</v>
      </c>
      <c r="D75" s="43">
        <f>Cornerstone!D76+SPOL!D75+Hamline!D75+BlueLine!D75+MPLSHOPWA1!D75+MPLSHOPWA2!D75+MPLSHOPWA2!D75</f>
        <v>0</v>
      </c>
      <c r="E75" s="43">
        <f>Cornerstone!E76+SPOL!E75+Hamline!E75+BlueLine!E75+MPLSHOPWA1!E75+MPLSHOPWA2!E75+MPLSHOPWA2!E75</f>
        <v>0</v>
      </c>
      <c r="F75" s="43">
        <f>Cornerstone!F76+SPOL!F75+Hamline!F75+BlueLine!F75+MPLSHOPWA1!F75+MPLSHOPWA2!F75+MPLSHOPWA2!F75</f>
        <v>0</v>
      </c>
      <c r="G75" s="43">
        <f>Cornerstone!G76+SPOL!G75+Hamline!G75+BlueLine!G75+MPLSHOPWA1!G75+MPLSHOPWA2!G75+MPLSHOPWA2!G75</f>
        <v>0</v>
      </c>
      <c r="H75" s="43">
        <f>Cornerstone!H76+SPOL!H75+Hamline!H75+BlueLine!H75+MPLSHOPWA1!H75+MPLSHOPWA2!H75+MPLSHOPWA2!H75</f>
        <v>0</v>
      </c>
      <c r="I75" s="43">
        <f>Cornerstone!I76+SPOL!I75+Hamline!I75+BlueLine!I75+MPLSHOPWA1!I75+MPLSHOPWA2!I75+MPLSHOPWA2!I75</f>
        <v>0</v>
      </c>
      <c r="J75" s="43">
        <f>Cornerstone!J76+SPOL!J75+Hamline!J75+BlueLine!J75+MPLSHOPWA1!J75+MPLSHOPWA2!J75+MPLSHOPWA2!J75</f>
        <v>0</v>
      </c>
      <c r="K75" s="43">
        <f>Cornerstone!K76+SPOL!K75+Hamline!K75+BlueLine!K75+MPLSHOPWA1!K75+MPLSHOPWA2!K75+MPLSHOPWA2!K75</f>
        <v>0</v>
      </c>
      <c r="L75" s="43">
        <f>Cornerstone!L76+SPOL!L75+Hamline!L75+BlueLine!L75+MPLSHOPWA1!L75+MPLSHOPWA2!L75+MPLSHOPWA2!L75</f>
        <v>0</v>
      </c>
      <c r="M75" s="43">
        <f>Cornerstone!M76+SPOL!M75+Hamline!M75+BlueLine!M75+MPLSHOPWA1!M75+MPLSHOPWA2!M75+MPLSHOPWA2!M75</f>
        <v>0</v>
      </c>
      <c r="N75" s="43">
        <f>Cornerstone!N76+SPOL!N75+Hamline!N75+BlueLine!N75+MPLSHOPWA1!N75+MPLSHOPWA2!N75+MPLSHOPWA2!N75</f>
        <v>0</v>
      </c>
      <c r="O75" s="43">
        <f>Cornerstone!O76+SPOL!O75+Hamline!O75+BlueLine!O75+MPLSHOPWA1!O75+MPLSHOPWA2!O75+MPLSHOPWA2!O75</f>
        <v>0</v>
      </c>
      <c r="P75" s="43">
        <f t="shared" si="9"/>
        <v>0</v>
      </c>
    </row>
    <row r="76" spans="1:16" x14ac:dyDescent="0.3">
      <c r="A76" s="1"/>
      <c r="B76" s="2" t="s">
        <v>62</v>
      </c>
      <c r="D76" s="43">
        <f>Cornerstone!D77+SPOL!D76+Hamline!D76+BlueLine!D76+MPLSHOPWA1!D76+MPLSHOPWA2!D76+MPLSHOPWA2!D76</f>
        <v>0</v>
      </c>
      <c r="E76" s="43">
        <f>Cornerstone!E77+SPOL!E76+Hamline!E76+BlueLine!E76+MPLSHOPWA1!E76+MPLSHOPWA2!E76+MPLSHOPWA2!E76</f>
        <v>0</v>
      </c>
      <c r="F76" s="43">
        <f>Cornerstone!F77+SPOL!F76+Hamline!F76+BlueLine!F76+MPLSHOPWA1!F76+MPLSHOPWA2!F76+MPLSHOPWA2!F76</f>
        <v>0</v>
      </c>
      <c r="G76" s="43">
        <f>Cornerstone!G77+SPOL!G76+Hamline!G76+BlueLine!G76+MPLSHOPWA1!G76+MPLSHOPWA2!G76+MPLSHOPWA2!G76</f>
        <v>0</v>
      </c>
      <c r="H76" s="43">
        <f>Cornerstone!H77+SPOL!H76+Hamline!H76+BlueLine!H76+MPLSHOPWA1!H76+MPLSHOPWA2!H76+MPLSHOPWA2!H76</f>
        <v>0</v>
      </c>
      <c r="I76" s="43">
        <f>Cornerstone!I77+SPOL!I76+Hamline!I76+BlueLine!I76+MPLSHOPWA1!I76+MPLSHOPWA2!I76+MPLSHOPWA2!I76</f>
        <v>0</v>
      </c>
      <c r="J76" s="43">
        <f>Cornerstone!J77+SPOL!J76+Hamline!J76+BlueLine!J76+MPLSHOPWA1!J76+MPLSHOPWA2!J76+MPLSHOPWA2!J76</f>
        <v>0</v>
      </c>
      <c r="K76" s="43">
        <f>Cornerstone!K77+SPOL!K76+Hamline!K76+BlueLine!K76+MPLSHOPWA1!K76+MPLSHOPWA2!K76+MPLSHOPWA2!K76</f>
        <v>0</v>
      </c>
      <c r="L76" s="43">
        <f>Cornerstone!L77+SPOL!L76+Hamline!L76+BlueLine!L76+MPLSHOPWA1!L76+MPLSHOPWA2!L76+MPLSHOPWA2!L76</f>
        <v>0</v>
      </c>
      <c r="M76" s="43">
        <f>Cornerstone!M77+SPOL!M76+Hamline!M76+BlueLine!M76+MPLSHOPWA1!M76+MPLSHOPWA2!M76+MPLSHOPWA2!M76</f>
        <v>0</v>
      </c>
      <c r="N76" s="43">
        <f>Cornerstone!N77+SPOL!N76+Hamline!N76+BlueLine!N76+MPLSHOPWA1!N76+MPLSHOPWA2!N76+MPLSHOPWA2!N76</f>
        <v>0</v>
      </c>
      <c r="O76" s="43">
        <f>Cornerstone!O77+SPOL!O76+Hamline!O76+BlueLine!O76+MPLSHOPWA1!O76+MPLSHOPWA2!O76+MPLSHOPWA2!O76</f>
        <v>0</v>
      </c>
      <c r="P76" s="43">
        <f t="shared" si="9"/>
        <v>0</v>
      </c>
    </row>
    <row r="77" spans="1:16" x14ac:dyDescent="0.3">
      <c r="A77" s="1"/>
      <c r="B77" s="2" t="s">
        <v>63</v>
      </c>
      <c r="D77" s="43">
        <f>Cornerstone!D78+SPOL!D77+Hamline!D77+BlueLine!D77+MPLSHOPWA1!D77+MPLSHOPWA2!D77+MPLSHOPWA2!D77</f>
        <v>0</v>
      </c>
      <c r="E77" s="43">
        <f>Cornerstone!E78+SPOL!E77+Hamline!E77+BlueLine!E77+MPLSHOPWA1!E77+MPLSHOPWA2!E77+MPLSHOPWA2!E77</f>
        <v>0</v>
      </c>
      <c r="F77" s="43">
        <f>Cornerstone!F78+SPOL!F77+Hamline!F77+BlueLine!F77+MPLSHOPWA1!F77+MPLSHOPWA2!F77+MPLSHOPWA2!F77</f>
        <v>0</v>
      </c>
      <c r="G77" s="43">
        <f>Cornerstone!G78+SPOL!G77+Hamline!G77+BlueLine!G77+MPLSHOPWA1!G77+MPLSHOPWA2!G77+MPLSHOPWA2!G77</f>
        <v>0</v>
      </c>
      <c r="H77" s="43">
        <f>Cornerstone!H78+SPOL!H77+Hamline!H77+BlueLine!H77+MPLSHOPWA1!H77+MPLSHOPWA2!H77+MPLSHOPWA2!H77</f>
        <v>0</v>
      </c>
      <c r="I77" s="43">
        <f>Cornerstone!I78+SPOL!I77+Hamline!I77+BlueLine!I77+MPLSHOPWA1!I77+MPLSHOPWA2!I77+MPLSHOPWA2!I77</f>
        <v>0</v>
      </c>
      <c r="J77" s="43">
        <f>Cornerstone!J78+SPOL!J77+Hamline!J77+BlueLine!J77+MPLSHOPWA1!J77+MPLSHOPWA2!J77+MPLSHOPWA2!J77</f>
        <v>0</v>
      </c>
      <c r="K77" s="43">
        <f>Cornerstone!K78+SPOL!K77+Hamline!K77+BlueLine!K77+MPLSHOPWA1!K77+MPLSHOPWA2!K77+MPLSHOPWA2!K77</f>
        <v>0</v>
      </c>
      <c r="L77" s="43">
        <f>Cornerstone!L78+SPOL!L77+Hamline!L77+BlueLine!L77+MPLSHOPWA1!L77+MPLSHOPWA2!L77+MPLSHOPWA2!L77</f>
        <v>0</v>
      </c>
      <c r="M77" s="43">
        <f>Cornerstone!M78+SPOL!M77+Hamline!M77+BlueLine!M77+MPLSHOPWA1!M77+MPLSHOPWA2!M77+MPLSHOPWA2!M77</f>
        <v>0</v>
      </c>
      <c r="N77" s="43">
        <f>Cornerstone!N78+SPOL!N77+Hamline!N77+BlueLine!N77+MPLSHOPWA1!N77+MPLSHOPWA2!N77+MPLSHOPWA2!N77</f>
        <v>0</v>
      </c>
      <c r="O77" s="43">
        <f>Cornerstone!O78+SPOL!O77+Hamline!O77+BlueLine!O77+MPLSHOPWA1!O77+MPLSHOPWA2!O77+MPLSHOPWA2!O77</f>
        <v>0</v>
      </c>
      <c r="P77" s="43">
        <f t="shared" si="9"/>
        <v>0</v>
      </c>
    </row>
    <row r="78" spans="1:16" x14ac:dyDescent="0.3">
      <c r="A78" s="2" t="s">
        <v>17</v>
      </c>
      <c r="B78" s="2" t="s">
        <v>64</v>
      </c>
      <c r="D78" s="43">
        <f>Cornerstone!D79+SPOL!D78+Hamline!D78+BlueLine!D78+MPLSHOPWA1!D78+MPLSHOPWA2!D78+MPLSHOPWA2!D78</f>
        <v>0</v>
      </c>
      <c r="E78" s="43">
        <f>Cornerstone!E79+SPOL!E78+Hamline!E78+BlueLine!E78+MPLSHOPWA1!E78+MPLSHOPWA2!E78+MPLSHOPWA2!E78</f>
        <v>0</v>
      </c>
      <c r="F78" s="43">
        <f>Cornerstone!F79+SPOL!F78+Hamline!F78+BlueLine!F78+MPLSHOPWA1!F78+MPLSHOPWA2!F78+MPLSHOPWA2!F78</f>
        <v>0</v>
      </c>
      <c r="G78" s="43">
        <f>Cornerstone!G79+SPOL!G78+Hamline!G78+BlueLine!G78+MPLSHOPWA1!G78+MPLSHOPWA2!G78+MPLSHOPWA2!G78</f>
        <v>0</v>
      </c>
      <c r="H78" s="43">
        <f>Cornerstone!H79+SPOL!H78+Hamline!H78+BlueLine!H78+MPLSHOPWA1!H78+MPLSHOPWA2!H78+MPLSHOPWA2!H78</f>
        <v>0</v>
      </c>
      <c r="I78" s="43">
        <f>Cornerstone!I79+SPOL!I78+Hamline!I78+BlueLine!I78+MPLSHOPWA1!I78+MPLSHOPWA2!I78+MPLSHOPWA2!I78</f>
        <v>0</v>
      </c>
      <c r="J78" s="43">
        <f>Cornerstone!J79+SPOL!J78+Hamline!J78+BlueLine!J78+MPLSHOPWA1!J78+MPLSHOPWA2!J78+MPLSHOPWA2!J78</f>
        <v>0</v>
      </c>
      <c r="K78" s="43">
        <f>Cornerstone!K79+SPOL!K78+Hamline!K78+BlueLine!K78+MPLSHOPWA1!K78+MPLSHOPWA2!K78+MPLSHOPWA2!K78</f>
        <v>0</v>
      </c>
      <c r="L78" s="43">
        <f>Cornerstone!L79+SPOL!L78+Hamline!L78+BlueLine!L78+MPLSHOPWA1!L78+MPLSHOPWA2!L78+MPLSHOPWA2!L78</f>
        <v>0</v>
      </c>
      <c r="M78" s="43">
        <f>Cornerstone!M79+SPOL!M78+Hamline!M78+BlueLine!M78+MPLSHOPWA1!M78+MPLSHOPWA2!M78+MPLSHOPWA2!M78</f>
        <v>0</v>
      </c>
      <c r="N78" s="43">
        <f>Cornerstone!N79+SPOL!N78+Hamline!N78+BlueLine!N78+MPLSHOPWA1!N78+MPLSHOPWA2!N78+MPLSHOPWA2!N78</f>
        <v>0</v>
      </c>
      <c r="O78" s="43">
        <f>Cornerstone!O79+SPOL!O78+Hamline!O78+BlueLine!O78+MPLSHOPWA1!O78+MPLSHOPWA2!O78+MPLSHOPWA2!O78</f>
        <v>0</v>
      </c>
      <c r="P78" s="43">
        <f t="shared" si="9"/>
        <v>0</v>
      </c>
    </row>
    <row r="79" spans="1:16" x14ac:dyDescent="0.3">
      <c r="A79" s="1"/>
      <c r="B79" s="2" t="s">
        <v>65</v>
      </c>
      <c r="D79" s="43">
        <f>Cornerstone!D80+SPOL!D79+Hamline!D79+BlueLine!D79+MPLSHOPWA1!D79+MPLSHOPWA2!D79+MPLSHOPWA2!D79</f>
        <v>0</v>
      </c>
      <c r="E79" s="43">
        <f>Cornerstone!E80+SPOL!E79+Hamline!E79+BlueLine!E79+MPLSHOPWA1!E79+MPLSHOPWA2!E79+MPLSHOPWA2!E79</f>
        <v>0</v>
      </c>
      <c r="F79" s="43">
        <f>Cornerstone!F80+SPOL!F79+Hamline!F79+BlueLine!F79+MPLSHOPWA1!F79+MPLSHOPWA2!F79+MPLSHOPWA2!F79</f>
        <v>0</v>
      </c>
      <c r="G79" s="43">
        <f>Cornerstone!G80+SPOL!G79+Hamline!G79+BlueLine!G79+MPLSHOPWA1!G79+MPLSHOPWA2!G79+MPLSHOPWA2!G79</f>
        <v>0</v>
      </c>
      <c r="H79" s="43">
        <f>Cornerstone!H80+SPOL!H79+Hamline!H79+BlueLine!H79+MPLSHOPWA1!H79+MPLSHOPWA2!H79+MPLSHOPWA2!H79</f>
        <v>0</v>
      </c>
      <c r="I79" s="43">
        <f>Cornerstone!I80+SPOL!I79+Hamline!I79+BlueLine!I79+MPLSHOPWA1!I79+MPLSHOPWA2!I79+MPLSHOPWA2!I79</f>
        <v>0</v>
      </c>
      <c r="J79" s="43">
        <f>Cornerstone!J80+SPOL!J79+Hamline!J79+BlueLine!J79+MPLSHOPWA1!J79+MPLSHOPWA2!J79+MPLSHOPWA2!J79</f>
        <v>0</v>
      </c>
      <c r="K79" s="43">
        <f>Cornerstone!K80+SPOL!K79+Hamline!K79+BlueLine!K79+MPLSHOPWA1!K79+MPLSHOPWA2!K79+MPLSHOPWA2!K79</f>
        <v>0</v>
      </c>
      <c r="L79" s="43">
        <f>Cornerstone!L80+SPOL!L79+Hamline!L79+BlueLine!L79+MPLSHOPWA1!L79+MPLSHOPWA2!L79+MPLSHOPWA2!L79</f>
        <v>0</v>
      </c>
      <c r="M79" s="43">
        <f>Cornerstone!M80+SPOL!M79+Hamline!M79+BlueLine!M79+MPLSHOPWA1!M79+MPLSHOPWA2!M79+MPLSHOPWA2!M79</f>
        <v>0</v>
      </c>
      <c r="N79" s="43">
        <f>Cornerstone!N80+SPOL!N79+Hamline!N79+BlueLine!N79+MPLSHOPWA1!N79+MPLSHOPWA2!N79+MPLSHOPWA2!N79</f>
        <v>0</v>
      </c>
      <c r="O79" s="43">
        <f>Cornerstone!O80+SPOL!O79+Hamline!O79+BlueLine!O79+MPLSHOPWA1!O79+MPLSHOPWA2!O79+MPLSHOPWA2!O79</f>
        <v>0</v>
      </c>
      <c r="P79" s="43">
        <f t="shared" si="9"/>
        <v>0</v>
      </c>
    </row>
    <row r="80" spans="1:16" x14ac:dyDescent="0.3">
      <c r="A80" s="1"/>
      <c r="B80" s="1"/>
      <c r="D80" s="43">
        <f>Cornerstone!D81+SPOL!D80+Hamline!D80+BlueLine!D80+MPLSHOPWA1!D80+MPLSHOPWA2!D80+MPLSHOPWA2!D80</f>
        <v>0</v>
      </c>
      <c r="E80" s="43">
        <f>Cornerstone!E81+SPOL!E80+Hamline!E80+BlueLine!E80+MPLSHOPWA1!E80+MPLSHOPWA2!E80+MPLSHOPWA2!E80</f>
        <v>0</v>
      </c>
      <c r="F80" s="43">
        <f>Cornerstone!F81+SPOL!F80+Hamline!F80+BlueLine!F80+MPLSHOPWA1!F80+MPLSHOPWA2!F80+MPLSHOPWA2!F80</f>
        <v>0</v>
      </c>
      <c r="G80" s="43">
        <f>Cornerstone!G81+SPOL!G80+Hamline!G80+BlueLine!G80+MPLSHOPWA1!G80+MPLSHOPWA2!G80+MPLSHOPWA2!G80</f>
        <v>0</v>
      </c>
      <c r="H80" s="43">
        <f>Cornerstone!H81+SPOL!H80+Hamline!H80+BlueLine!H80+MPLSHOPWA1!H80+MPLSHOPWA2!H80+MPLSHOPWA2!H80</f>
        <v>0</v>
      </c>
      <c r="I80" s="43">
        <f>Cornerstone!I81+SPOL!I80+Hamline!I80+BlueLine!I80+MPLSHOPWA1!I80+MPLSHOPWA2!I80+MPLSHOPWA2!I80</f>
        <v>0</v>
      </c>
      <c r="J80" s="43">
        <f>Cornerstone!J81+SPOL!J80+Hamline!J80+BlueLine!J80+MPLSHOPWA1!J80+MPLSHOPWA2!J80+MPLSHOPWA2!J80</f>
        <v>0</v>
      </c>
      <c r="K80" s="43">
        <f>Cornerstone!K81+SPOL!K80+Hamline!K80+BlueLine!K80+MPLSHOPWA1!K80+MPLSHOPWA2!K80+MPLSHOPWA2!K80</f>
        <v>0</v>
      </c>
      <c r="L80" s="43">
        <f>Cornerstone!L81+SPOL!L80+Hamline!L80+BlueLine!L80+MPLSHOPWA1!L80+MPLSHOPWA2!L80+MPLSHOPWA2!L80</f>
        <v>0</v>
      </c>
      <c r="M80" s="43">
        <f>Cornerstone!M81+SPOL!M80+Hamline!M80+BlueLine!M80+MPLSHOPWA1!M80+MPLSHOPWA2!M80+MPLSHOPWA2!M80</f>
        <v>0</v>
      </c>
      <c r="N80" s="43">
        <f>Cornerstone!N81+SPOL!N80+Hamline!N80+BlueLine!N80+MPLSHOPWA1!N80+MPLSHOPWA2!N80+MPLSHOPWA2!N80</f>
        <v>0</v>
      </c>
      <c r="O80" s="43">
        <f>Cornerstone!O81+SPOL!O80+Hamline!O80+BlueLine!O80+MPLSHOPWA1!O80+MPLSHOPWA2!O80+MPLSHOPWA2!O80</f>
        <v>0</v>
      </c>
      <c r="P80" s="43">
        <f t="shared" si="9"/>
        <v>0</v>
      </c>
    </row>
    <row r="81" spans="1:17" x14ac:dyDescent="0.3">
      <c r="A81" s="1"/>
      <c r="B81" s="2"/>
      <c r="D81" s="43">
        <f>Cornerstone!D82+SPOL!D81+Hamline!D81+BlueLine!D81+MPLSHOPWA1!D81+MPLSHOPWA2!D81+MPLSHOPWA2!D81</f>
        <v>0</v>
      </c>
      <c r="E81" s="43">
        <f>Cornerstone!E82+SPOL!E81+Hamline!E81+BlueLine!E81+MPLSHOPWA1!E81+MPLSHOPWA2!E81+MPLSHOPWA2!E81</f>
        <v>0</v>
      </c>
      <c r="F81" s="43">
        <f>Cornerstone!F82+SPOL!F81+Hamline!F81+BlueLine!F81+MPLSHOPWA1!F81+MPLSHOPWA2!F81+MPLSHOPWA2!F81</f>
        <v>0</v>
      </c>
      <c r="G81" s="43">
        <f>Cornerstone!G82+SPOL!G81+Hamline!G81+BlueLine!G81+MPLSHOPWA1!G81+MPLSHOPWA2!G81+MPLSHOPWA2!G81</f>
        <v>0</v>
      </c>
      <c r="H81" s="43">
        <f>Cornerstone!H82+SPOL!H81+Hamline!H81+BlueLine!H81+MPLSHOPWA1!H81+MPLSHOPWA2!H81+MPLSHOPWA2!H81</f>
        <v>0</v>
      </c>
      <c r="I81" s="43">
        <f>Cornerstone!I82+SPOL!I81+Hamline!I81+BlueLine!I81+MPLSHOPWA1!I81+MPLSHOPWA2!I81+MPLSHOPWA2!I81</f>
        <v>0</v>
      </c>
      <c r="J81" s="43">
        <f>Cornerstone!J82+SPOL!J81+Hamline!J81+BlueLine!J81+MPLSHOPWA1!J81+MPLSHOPWA2!J81+MPLSHOPWA2!J81</f>
        <v>0</v>
      </c>
      <c r="K81" s="43">
        <f>Cornerstone!K82+SPOL!K81+Hamline!K81+BlueLine!K81+MPLSHOPWA1!K81+MPLSHOPWA2!K81+MPLSHOPWA2!K81</f>
        <v>0</v>
      </c>
      <c r="L81" s="43">
        <f>Cornerstone!L82+SPOL!L81+Hamline!L81+BlueLine!L81+MPLSHOPWA1!L81+MPLSHOPWA2!L81+MPLSHOPWA2!L81</f>
        <v>0</v>
      </c>
      <c r="M81" s="43">
        <f>Cornerstone!M82+SPOL!M81+Hamline!M81+BlueLine!M81+MPLSHOPWA1!M81+MPLSHOPWA2!M81+MPLSHOPWA2!M81</f>
        <v>0</v>
      </c>
      <c r="N81" s="43">
        <f>Cornerstone!N82+SPOL!N81+Hamline!N81+BlueLine!N81+MPLSHOPWA1!N81+MPLSHOPWA2!N81+MPLSHOPWA2!N81</f>
        <v>0</v>
      </c>
      <c r="O81" s="43">
        <f>Cornerstone!O82+SPOL!O81+Hamline!O81+BlueLine!O81+MPLSHOPWA1!O81+MPLSHOPWA2!O81+MPLSHOPWA2!O81</f>
        <v>0</v>
      </c>
      <c r="P81" s="43">
        <f t="shared" si="9"/>
        <v>0</v>
      </c>
    </row>
    <row r="82" spans="1:17" x14ac:dyDescent="0.3">
      <c r="A82" s="1"/>
      <c r="B82" s="2"/>
      <c r="D82" s="43">
        <f>Cornerstone!D83+SPOL!D82+Hamline!D82+BlueLine!D82+MPLSHOPWA1!D82+MPLSHOPWA2!D82+MPLSHOPWA2!D82</f>
        <v>0</v>
      </c>
      <c r="E82" s="43">
        <f>Cornerstone!E83+SPOL!E82+Hamline!E82+BlueLine!E82+MPLSHOPWA1!E82+MPLSHOPWA2!E82+MPLSHOPWA2!E82</f>
        <v>0</v>
      </c>
      <c r="F82" s="43">
        <f>Cornerstone!F83+SPOL!F82+Hamline!F82+BlueLine!F82+MPLSHOPWA1!F82+MPLSHOPWA2!F82+MPLSHOPWA2!F82</f>
        <v>0</v>
      </c>
      <c r="G82" s="43">
        <f>Cornerstone!G83+SPOL!G82+Hamline!G82+BlueLine!G82+MPLSHOPWA1!G82+MPLSHOPWA2!G82+MPLSHOPWA2!G82</f>
        <v>0</v>
      </c>
      <c r="H82" s="43">
        <f>Cornerstone!H83+SPOL!H82+Hamline!H82+BlueLine!H82+MPLSHOPWA1!H82+MPLSHOPWA2!H82+MPLSHOPWA2!H82</f>
        <v>0</v>
      </c>
      <c r="I82" s="43">
        <f>Cornerstone!I83+SPOL!I82+Hamline!I82+BlueLine!I82+MPLSHOPWA1!I82+MPLSHOPWA2!I82+MPLSHOPWA2!I82</f>
        <v>0</v>
      </c>
      <c r="J82" s="43">
        <f>Cornerstone!J83+SPOL!J82+Hamline!J82+BlueLine!J82+MPLSHOPWA1!J82+MPLSHOPWA2!J82+MPLSHOPWA2!J82</f>
        <v>0</v>
      </c>
      <c r="K82" s="43">
        <f>Cornerstone!K83+SPOL!K82+Hamline!K82+BlueLine!K82+MPLSHOPWA1!K82+MPLSHOPWA2!K82+MPLSHOPWA2!K82</f>
        <v>0</v>
      </c>
      <c r="L82" s="43">
        <f>Cornerstone!L83+SPOL!L82+Hamline!L82+BlueLine!L82+MPLSHOPWA1!L82+MPLSHOPWA2!L82+MPLSHOPWA2!L82</f>
        <v>0</v>
      </c>
      <c r="M82" s="43">
        <f>Cornerstone!M83+SPOL!M82+Hamline!M82+BlueLine!M82+MPLSHOPWA1!M82+MPLSHOPWA2!M82+MPLSHOPWA2!M82</f>
        <v>0</v>
      </c>
      <c r="N82" s="43">
        <f>Cornerstone!N83+SPOL!N82+Hamline!N82+BlueLine!N82+MPLSHOPWA1!N82+MPLSHOPWA2!N82+MPLSHOPWA2!N82</f>
        <v>0</v>
      </c>
      <c r="O82" s="43">
        <f>Cornerstone!O83+SPOL!O82+Hamline!O82+BlueLine!O82+MPLSHOPWA1!O82+MPLSHOPWA2!O82+MPLSHOPWA2!O82</f>
        <v>0</v>
      </c>
      <c r="P82" s="43">
        <f t="shared" si="9"/>
        <v>0</v>
      </c>
    </row>
    <row r="83" spans="1:17" x14ac:dyDescent="0.3">
      <c r="A83" s="1"/>
      <c r="B83" s="2"/>
      <c r="D83" s="43">
        <f>Cornerstone!D84+SPOL!D83+Hamline!D83+BlueLine!D83+MPLSHOPWA1!D83+MPLSHOPWA2!D83+MPLSHOPWA2!D83</f>
        <v>0</v>
      </c>
      <c r="E83" s="43">
        <f>Cornerstone!E84+SPOL!E83+Hamline!E83+BlueLine!E83+MPLSHOPWA1!E83+MPLSHOPWA2!E83+MPLSHOPWA2!E83</f>
        <v>0</v>
      </c>
      <c r="F83" s="43">
        <f>Cornerstone!F84+SPOL!F83+Hamline!F83+BlueLine!F83+MPLSHOPWA1!F83+MPLSHOPWA2!F83+MPLSHOPWA2!F83</f>
        <v>0</v>
      </c>
      <c r="G83" s="43">
        <f>Cornerstone!G84+SPOL!G83+Hamline!G83+BlueLine!G83+MPLSHOPWA1!G83+MPLSHOPWA2!G83+MPLSHOPWA2!G83</f>
        <v>0</v>
      </c>
      <c r="H83" s="43">
        <f>Cornerstone!H84+SPOL!H83+Hamline!H83+BlueLine!H83+MPLSHOPWA1!H83+MPLSHOPWA2!H83+MPLSHOPWA2!H83</f>
        <v>0</v>
      </c>
      <c r="I83" s="43">
        <f>Cornerstone!I84+SPOL!I83+Hamline!I83+BlueLine!I83+MPLSHOPWA1!I83+MPLSHOPWA2!I83+MPLSHOPWA2!I83</f>
        <v>0</v>
      </c>
      <c r="J83" s="43">
        <f>Cornerstone!J84+SPOL!J83+Hamline!J83+BlueLine!J83+MPLSHOPWA1!J83+MPLSHOPWA2!J83+MPLSHOPWA2!J83</f>
        <v>0</v>
      </c>
      <c r="K83" s="43">
        <f>Cornerstone!K84+SPOL!K83+Hamline!K83+BlueLine!K83+MPLSHOPWA1!K83+MPLSHOPWA2!K83+MPLSHOPWA2!K83</f>
        <v>0</v>
      </c>
      <c r="L83" s="43">
        <f>Cornerstone!L84+SPOL!L83+Hamline!L83+BlueLine!L83+MPLSHOPWA1!L83+MPLSHOPWA2!L83+MPLSHOPWA2!L83</f>
        <v>0</v>
      </c>
      <c r="M83" s="43">
        <f>Cornerstone!M84+SPOL!M83+Hamline!M83+BlueLine!M83+MPLSHOPWA1!M83+MPLSHOPWA2!M83+MPLSHOPWA2!M83</f>
        <v>0</v>
      </c>
      <c r="N83" s="43">
        <f>Cornerstone!N84+SPOL!N83+Hamline!N83+BlueLine!N83+MPLSHOPWA1!N83+MPLSHOPWA2!N83+MPLSHOPWA2!N83</f>
        <v>0</v>
      </c>
      <c r="O83" s="43">
        <f>Cornerstone!O84+SPOL!O83+Hamline!O83+BlueLine!O83+MPLSHOPWA1!O83+MPLSHOPWA2!O83+MPLSHOPWA2!O83</f>
        <v>0</v>
      </c>
      <c r="P83" s="43">
        <f t="shared" si="9"/>
        <v>0</v>
      </c>
    </row>
    <row r="84" spans="1:17" x14ac:dyDescent="0.3">
      <c r="A84" s="1"/>
      <c r="B84" s="2"/>
      <c r="D84" s="43">
        <f>Cornerstone!D84+SPOL!D83+Hamline!D83+BlueLine!D83</f>
        <v>0</v>
      </c>
      <c r="E84" s="43">
        <f>Cornerstone!E84+SPOL!E83+Hamline!E83+BlueLine!E83</f>
        <v>0</v>
      </c>
      <c r="F84" s="43">
        <f>Cornerstone!F84+SPOL!F83+Hamline!F83+BlueLine!F83</f>
        <v>0</v>
      </c>
      <c r="G84" s="43">
        <f>Cornerstone!G84+SPOL!G83+Hamline!G83+BlueLine!G83</f>
        <v>0</v>
      </c>
      <c r="H84" s="43">
        <f>Cornerstone!H84+SPOL!H83+Hamline!H83+BlueLine!H83</f>
        <v>0</v>
      </c>
      <c r="I84" s="43">
        <f>Cornerstone!I84+SPOL!I83+Hamline!I83+BlueLine!I83</f>
        <v>0</v>
      </c>
      <c r="J84" s="43">
        <f>Cornerstone!J84+SPOL!J83+Hamline!J83+BlueLine!J83</f>
        <v>0</v>
      </c>
      <c r="K84" s="43">
        <f>Cornerstone!K84+SPOL!K83+Hamline!K83+BlueLine!K83</f>
        <v>0</v>
      </c>
      <c r="L84" s="43">
        <f>Cornerstone!L84+SPOL!L83+Hamline!L83+BlueLine!L83</f>
        <v>0</v>
      </c>
      <c r="M84" s="43">
        <f>Cornerstone!M84+SPOL!M83+Hamline!M83+BlueLine!M83</f>
        <v>0</v>
      </c>
      <c r="N84" s="43">
        <f>Cornerstone!N84+SPOL!N83+Hamline!N83+BlueLine!N83</f>
        <v>0</v>
      </c>
      <c r="O84" s="43">
        <f>Cornerstone!O84+SPOL!O83+Hamline!O83+BlueLine!O83</f>
        <v>0</v>
      </c>
      <c r="P84" s="43">
        <f t="shared" si="9"/>
        <v>0</v>
      </c>
    </row>
    <row r="85" spans="1:17" x14ac:dyDescent="0.3">
      <c r="A85" s="195" t="s">
        <v>66</v>
      </c>
      <c r="B85" s="195"/>
      <c r="D85" s="28">
        <f>SUM(D57:D84)</f>
        <v>375</v>
      </c>
      <c r="E85" s="28">
        <f t="shared" ref="E85:P85" si="10">SUM(E57:E84)</f>
        <v>375</v>
      </c>
      <c r="F85" s="28">
        <f t="shared" si="10"/>
        <v>375</v>
      </c>
      <c r="G85" s="28">
        <f t="shared" si="10"/>
        <v>375</v>
      </c>
      <c r="H85" s="28">
        <f t="shared" si="10"/>
        <v>375</v>
      </c>
      <c r="I85" s="28">
        <f t="shared" si="10"/>
        <v>375</v>
      </c>
      <c r="J85" s="28">
        <f t="shared" si="10"/>
        <v>375</v>
      </c>
      <c r="K85" s="28">
        <f t="shared" si="10"/>
        <v>375</v>
      </c>
      <c r="L85" s="28">
        <f t="shared" si="10"/>
        <v>375</v>
      </c>
      <c r="M85" s="28">
        <f t="shared" si="10"/>
        <v>375</v>
      </c>
      <c r="N85" s="28">
        <f t="shared" si="10"/>
        <v>375</v>
      </c>
      <c r="O85" s="28">
        <f t="shared" si="10"/>
        <v>375</v>
      </c>
      <c r="P85" s="28">
        <f t="shared" si="10"/>
        <v>4500</v>
      </c>
      <c r="Q85" s="29">
        <f>SUM(P56:P84)-P85</f>
        <v>0</v>
      </c>
    </row>
    <row r="86" spans="1:17" x14ac:dyDescent="0.3">
      <c r="A86" s="195" t="s">
        <v>67</v>
      </c>
      <c r="B86" s="195"/>
    </row>
    <row r="87" spans="1:17" x14ac:dyDescent="0.3">
      <c r="A87" s="1"/>
      <c r="B87" s="2" t="s">
        <v>68</v>
      </c>
      <c r="D87" s="43">
        <f>Cornerstone!D87+SPOL!D86+Hamline!D86+BlueLine!D86</f>
        <v>0</v>
      </c>
      <c r="E87" s="43">
        <f>Cornerstone!E87+SPOL!E86+Hamline!E86+BlueLine!E86</f>
        <v>0</v>
      </c>
      <c r="F87" s="43">
        <f>Cornerstone!F87+SPOL!F86+Hamline!F86+BlueLine!F86</f>
        <v>0</v>
      </c>
      <c r="G87" s="43">
        <f>Cornerstone!G87+SPOL!G86+Hamline!G86+BlueLine!G86</f>
        <v>0</v>
      </c>
      <c r="H87" s="43">
        <f>Cornerstone!H87+SPOL!H86+Hamline!H86+BlueLine!H86</f>
        <v>0</v>
      </c>
      <c r="I87" s="43">
        <f>Cornerstone!I87+SPOL!I86+Hamline!I86+BlueLine!I86</f>
        <v>0</v>
      </c>
      <c r="J87" s="43">
        <f>Cornerstone!J87+SPOL!J86+Hamline!J86+BlueLine!J86</f>
        <v>0</v>
      </c>
      <c r="K87" s="43">
        <f>Cornerstone!K87+SPOL!K86+Hamline!K86+BlueLine!K86</f>
        <v>0</v>
      </c>
      <c r="L87" s="43">
        <f>Cornerstone!L87+SPOL!L86+Hamline!L86+BlueLine!L86</f>
        <v>0</v>
      </c>
      <c r="M87" s="43">
        <f>Cornerstone!M87+SPOL!M86+Hamline!M86+BlueLine!M86</f>
        <v>0</v>
      </c>
      <c r="N87" s="43">
        <f>Cornerstone!N87+SPOL!N86+Hamline!N86+BlueLine!N86</f>
        <v>0</v>
      </c>
      <c r="O87" s="43">
        <f>Cornerstone!O87+SPOL!O86+Hamline!O86+BlueLine!O86</f>
        <v>0</v>
      </c>
      <c r="P87" s="43">
        <f t="shared" ref="P87:P105" si="11">SUM(D87:O87)</f>
        <v>0</v>
      </c>
    </row>
    <row r="88" spans="1:17" x14ac:dyDescent="0.3">
      <c r="A88" s="1"/>
      <c r="B88" s="2" t="s">
        <v>69</v>
      </c>
      <c r="D88" s="43">
        <f>Cornerstone!D88+SPOL!D87+Hamline!D87+BlueLine!D87</f>
        <v>0</v>
      </c>
      <c r="E88" s="43">
        <f>Cornerstone!E88+SPOL!E87+Hamline!E87+BlueLine!E87</f>
        <v>0</v>
      </c>
      <c r="F88" s="43">
        <f>Cornerstone!F88+SPOL!F87+Hamline!F87+BlueLine!F87</f>
        <v>0</v>
      </c>
      <c r="G88" s="43">
        <f>Cornerstone!G88+SPOL!G87+Hamline!G87+BlueLine!G87</f>
        <v>0</v>
      </c>
      <c r="H88" s="43">
        <f>Cornerstone!H88+SPOL!H87+Hamline!H87+BlueLine!H87</f>
        <v>0</v>
      </c>
      <c r="I88" s="43">
        <f>Cornerstone!I88+SPOL!I87+Hamline!I87+BlueLine!I87</f>
        <v>0</v>
      </c>
      <c r="J88" s="43">
        <f>Cornerstone!J88+SPOL!J87+Hamline!J87+BlueLine!J87</f>
        <v>0</v>
      </c>
      <c r="K88" s="43">
        <f>Cornerstone!K88+SPOL!K87+Hamline!K87+BlueLine!K87</f>
        <v>0</v>
      </c>
      <c r="L88" s="43">
        <f>Cornerstone!L88+SPOL!L87+Hamline!L87+BlueLine!L87</f>
        <v>0</v>
      </c>
      <c r="M88" s="43">
        <f>Cornerstone!M88+SPOL!M87+Hamline!M87+BlueLine!M87</f>
        <v>0</v>
      </c>
      <c r="N88" s="43">
        <f>Cornerstone!N88+SPOL!N87+Hamline!N87+BlueLine!N87</f>
        <v>0</v>
      </c>
      <c r="O88" s="43">
        <f>Cornerstone!O88+SPOL!O87+Hamline!O87+BlueLine!O87</f>
        <v>0</v>
      </c>
      <c r="P88" s="43">
        <f t="shared" si="11"/>
        <v>0</v>
      </c>
    </row>
    <row r="89" spans="1:17" x14ac:dyDescent="0.3">
      <c r="A89" s="1"/>
      <c r="B89" s="2" t="s">
        <v>70</v>
      </c>
      <c r="D89" s="43">
        <f>Cornerstone!D89+SPOL!D88+Hamline!D88+BlueLine!D88</f>
        <v>0</v>
      </c>
      <c r="E89" s="43">
        <f>Cornerstone!E89+SPOL!E88+Hamline!E88+BlueLine!E88</f>
        <v>0</v>
      </c>
      <c r="F89" s="43">
        <f>Cornerstone!F89+SPOL!F88+Hamline!F88+BlueLine!F88</f>
        <v>0</v>
      </c>
      <c r="G89" s="43">
        <f>Cornerstone!G89+SPOL!G88+Hamline!G88+BlueLine!G88</f>
        <v>0</v>
      </c>
      <c r="H89" s="43">
        <f>Cornerstone!H89+SPOL!H88+Hamline!H88+BlueLine!H88</f>
        <v>0</v>
      </c>
      <c r="I89" s="43">
        <f>Cornerstone!I89+SPOL!I88+Hamline!I88+BlueLine!I88</f>
        <v>0</v>
      </c>
      <c r="J89" s="43">
        <f>Cornerstone!J89+SPOL!J88+Hamline!J88+BlueLine!J88</f>
        <v>0</v>
      </c>
      <c r="K89" s="43">
        <f>Cornerstone!K89+SPOL!K88+Hamline!K88+BlueLine!K88</f>
        <v>0</v>
      </c>
      <c r="L89" s="43">
        <f>Cornerstone!L89+SPOL!L88+Hamline!L88+BlueLine!L88</f>
        <v>0</v>
      </c>
      <c r="M89" s="43">
        <f>Cornerstone!M89+SPOL!M88+Hamline!M88+BlueLine!M88</f>
        <v>0</v>
      </c>
      <c r="N89" s="43">
        <f>Cornerstone!N89+SPOL!N88+Hamline!N88+BlueLine!N88</f>
        <v>0</v>
      </c>
      <c r="O89" s="43">
        <f>Cornerstone!O89+SPOL!O88+Hamline!O88+BlueLine!O88</f>
        <v>0</v>
      </c>
      <c r="P89" s="43">
        <f t="shared" si="11"/>
        <v>0</v>
      </c>
    </row>
    <row r="90" spans="1:17" x14ac:dyDescent="0.3">
      <c r="A90" s="1"/>
      <c r="B90" s="2" t="s">
        <v>71</v>
      </c>
      <c r="D90" s="43">
        <f>Cornerstone!D90+SPOL!D89+Hamline!D89+BlueLine!D89</f>
        <v>0</v>
      </c>
      <c r="E90" s="43">
        <f>Cornerstone!E90+SPOL!E89+Hamline!E89+BlueLine!E89</f>
        <v>0</v>
      </c>
      <c r="F90" s="43">
        <f>Cornerstone!F90+SPOL!F89+Hamline!F89+BlueLine!F89</f>
        <v>0</v>
      </c>
      <c r="G90" s="43">
        <f>Cornerstone!G90+SPOL!G89+Hamline!G89+BlueLine!G89</f>
        <v>0</v>
      </c>
      <c r="H90" s="43">
        <f>Cornerstone!H90+SPOL!H89+Hamline!H89+BlueLine!H89</f>
        <v>0</v>
      </c>
      <c r="I90" s="43">
        <f>Cornerstone!I90+SPOL!I89+Hamline!I89+BlueLine!I89</f>
        <v>0</v>
      </c>
      <c r="J90" s="43">
        <f>Cornerstone!J90+SPOL!J89+Hamline!J89+BlueLine!J89</f>
        <v>0</v>
      </c>
      <c r="K90" s="43">
        <f>Cornerstone!K90+SPOL!K89+Hamline!K89+BlueLine!K89</f>
        <v>0</v>
      </c>
      <c r="L90" s="43">
        <f>Cornerstone!L90+SPOL!L89+Hamline!L89+BlueLine!L89</f>
        <v>0</v>
      </c>
      <c r="M90" s="43">
        <f>Cornerstone!M90+SPOL!M89+Hamline!M89+BlueLine!M89</f>
        <v>0</v>
      </c>
      <c r="N90" s="43">
        <f>Cornerstone!N90+SPOL!N89+Hamline!N89+BlueLine!N89</f>
        <v>0</v>
      </c>
      <c r="O90" s="43">
        <f>Cornerstone!O90+SPOL!O89+Hamline!O89+BlueLine!O89</f>
        <v>0</v>
      </c>
      <c r="P90" s="43">
        <f t="shared" si="11"/>
        <v>0</v>
      </c>
    </row>
    <row r="91" spans="1:17" x14ac:dyDescent="0.3">
      <c r="A91" s="1"/>
      <c r="B91" s="2" t="s">
        <v>72</v>
      </c>
      <c r="D91" s="43">
        <f>Cornerstone!D91+SPOL!D90+Hamline!D90+BlueLine!D90</f>
        <v>0</v>
      </c>
      <c r="E91" s="43">
        <f>Cornerstone!E91+SPOL!E90+Hamline!E90+BlueLine!E90</f>
        <v>0</v>
      </c>
      <c r="F91" s="43">
        <f>Cornerstone!F91+SPOL!F90+Hamline!F90+BlueLine!F90</f>
        <v>0</v>
      </c>
      <c r="G91" s="43">
        <f>Cornerstone!G91+SPOL!G90+Hamline!G90+BlueLine!G90</f>
        <v>0</v>
      </c>
      <c r="H91" s="43">
        <f>Cornerstone!H91+SPOL!H90+Hamline!H90+BlueLine!H90</f>
        <v>0</v>
      </c>
      <c r="I91" s="43">
        <f>Cornerstone!I91+SPOL!I90+Hamline!I90+BlueLine!I90</f>
        <v>0</v>
      </c>
      <c r="J91" s="43">
        <f>Cornerstone!J91+SPOL!J90+Hamline!J90+BlueLine!J90</f>
        <v>0</v>
      </c>
      <c r="K91" s="43">
        <f>Cornerstone!K91+SPOL!K90+Hamline!K90+BlueLine!K90</f>
        <v>0</v>
      </c>
      <c r="L91" s="43">
        <f>Cornerstone!L91+SPOL!L90+Hamline!L90+BlueLine!L90</f>
        <v>0</v>
      </c>
      <c r="M91" s="43">
        <f>Cornerstone!M91+SPOL!M90+Hamline!M90+BlueLine!M90</f>
        <v>0</v>
      </c>
      <c r="N91" s="43">
        <f>Cornerstone!N91+SPOL!N90+Hamline!N90+BlueLine!N90</f>
        <v>0</v>
      </c>
      <c r="O91" s="43">
        <f>Cornerstone!O91+SPOL!O90+Hamline!O90+BlueLine!O90</f>
        <v>0</v>
      </c>
      <c r="P91" s="43">
        <f t="shared" si="11"/>
        <v>0</v>
      </c>
    </row>
    <row r="92" spans="1:17" x14ac:dyDescent="0.3">
      <c r="A92" s="1"/>
      <c r="B92" s="2" t="s">
        <v>73</v>
      </c>
      <c r="D92" s="43">
        <f>Cornerstone!D92+SPOL!D91+Hamline!D91+BlueLine!D91</f>
        <v>0</v>
      </c>
      <c r="E92" s="43">
        <f>Cornerstone!E92+SPOL!E91+Hamline!E91+BlueLine!E91</f>
        <v>0</v>
      </c>
      <c r="F92" s="43">
        <f>Cornerstone!F92+SPOL!F91+Hamline!F91+BlueLine!F91</f>
        <v>0</v>
      </c>
      <c r="G92" s="43">
        <f>Cornerstone!G92+SPOL!G91+Hamline!G91+BlueLine!G91</f>
        <v>0</v>
      </c>
      <c r="H92" s="43">
        <f>Cornerstone!H92+SPOL!H91+Hamline!H91+BlueLine!H91</f>
        <v>0</v>
      </c>
      <c r="I92" s="43">
        <f>Cornerstone!I92+SPOL!I91+Hamline!I91+BlueLine!I91</f>
        <v>0</v>
      </c>
      <c r="J92" s="43">
        <f>Cornerstone!J92+SPOL!J91+Hamline!J91+BlueLine!J91</f>
        <v>0</v>
      </c>
      <c r="K92" s="43">
        <f>Cornerstone!K92+SPOL!K91+Hamline!K91+BlueLine!K91</f>
        <v>0</v>
      </c>
      <c r="L92" s="43">
        <f>Cornerstone!L92+SPOL!L91+Hamline!L91+BlueLine!L91</f>
        <v>0</v>
      </c>
      <c r="M92" s="43">
        <f>Cornerstone!M92+SPOL!M91+Hamline!M91+BlueLine!M91</f>
        <v>0</v>
      </c>
      <c r="N92" s="43">
        <f>Cornerstone!N92+SPOL!N91+Hamline!N91+BlueLine!N91</f>
        <v>0</v>
      </c>
      <c r="O92" s="43">
        <f>Cornerstone!O92+SPOL!O91+Hamline!O91+BlueLine!O91</f>
        <v>0</v>
      </c>
      <c r="P92" s="43">
        <f t="shared" si="11"/>
        <v>0</v>
      </c>
    </row>
    <row r="93" spans="1:17" x14ac:dyDescent="0.3">
      <c r="A93" s="1"/>
      <c r="B93" s="2" t="s">
        <v>74</v>
      </c>
      <c r="D93" s="43">
        <f>Cornerstone!D93+SPOL!D92+Hamline!D92+BlueLine!D92</f>
        <v>0</v>
      </c>
      <c r="E93" s="43">
        <f>Cornerstone!E93+SPOL!E92+Hamline!E92+BlueLine!E92</f>
        <v>0</v>
      </c>
      <c r="F93" s="43">
        <f>Cornerstone!F93+SPOL!F92+Hamline!F92+BlueLine!F92</f>
        <v>0</v>
      </c>
      <c r="G93" s="43">
        <f>Cornerstone!G93+SPOL!G92+Hamline!G92+BlueLine!G92</f>
        <v>0</v>
      </c>
      <c r="H93" s="43">
        <f>Cornerstone!H93+SPOL!H92+Hamline!H92+BlueLine!H92</f>
        <v>0</v>
      </c>
      <c r="I93" s="43">
        <f>Cornerstone!I93+SPOL!I92+Hamline!I92+BlueLine!I92</f>
        <v>0</v>
      </c>
      <c r="J93" s="43">
        <f>Cornerstone!J93+SPOL!J92+Hamline!J92+BlueLine!J92</f>
        <v>0</v>
      </c>
      <c r="K93" s="43">
        <f>Cornerstone!K93+SPOL!K92+Hamline!K92+BlueLine!K92</f>
        <v>0</v>
      </c>
      <c r="L93" s="43">
        <f>Cornerstone!L93+SPOL!L92+Hamline!L92+BlueLine!L92</f>
        <v>0</v>
      </c>
      <c r="M93" s="43">
        <f>Cornerstone!M93+SPOL!M92+Hamline!M92+BlueLine!M92</f>
        <v>0</v>
      </c>
      <c r="N93" s="43">
        <f>Cornerstone!N93+SPOL!N92+Hamline!N92+BlueLine!N92</f>
        <v>0</v>
      </c>
      <c r="O93" s="43">
        <f>Cornerstone!O93+SPOL!O92+Hamline!O92+BlueLine!O92</f>
        <v>0</v>
      </c>
      <c r="P93" s="43">
        <f t="shared" si="11"/>
        <v>0</v>
      </c>
    </row>
    <row r="94" spans="1:17" x14ac:dyDescent="0.3">
      <c r="A94" s="1"/>
      <c r="B94" s="2" t="s">
        <v>75</v>
      </c>
      <c r="D94" s="43">
        <f>Cornerstone!D94+SPOL!D93+Hamline!D93+BlueLine!D93+MPLSHOPWA1!D93+MPLSHOPWA2!D93</f>
        <v>31534</v>
      </c>
      <c r="E94" s="43">
        <f>Cornerstone!E94+SPOL!E93+Hamline!E93+BlueLine!E93+MPLSHOPWA1!E93+MPLSHOPWA2!E93</f>
        <v>31534</v>
      </c>
      <c r="F94" s="43">
        <f>Cornerstone!F94+SPOL!F93+Hamline!F93+BlueLine!F93+MPLSHOPWA1!F93+MPLSHOPWA2!F93</f>
        <v>31534</v>
      </c>
      <c r="G94" s="43">
        <f>Cornerstone!G94+SPOL!G93+Hamline!G93+BlueLine!G93+MPLSHOPWA1!G93+MPLSHOPWA2!G93</f>
        <v>31534</v>
      </c>
      <c r="H94" s="43">
        <f>Cornerstone!H94+SPOL!H93+Hamline!H93+BlueLine!H93+MPLSHOPWA1!H93+MPLSHOPWA2!H93</f>
        <v>31534</v>
      </c>
      <c r="I94" s="43">
        <f>Cornerstone!I94+SPOL!I93+Hamline!I93+BlueLine!I93+MPLSHOPWA1!I93+MPLSHOPWA2!I93</f>
        <v>31534</v>
      </c>
      <c r="J94" s="43">
        <f>Cornerstone!J94+SPOL!J93+Hamline!J93+BlueLine!J93+MPLSHOPWA1!J93+MPLSHOPWA2!J93</f>
        <v>31534</v>
      </c>
      <c r="K94" s="43">
        <f>Cornerstone!K94+SPOL!K93+Hamline!K93+BlueLine!K93+MPLSHOPWA1!K93+MPLSHOPWA2!K93</f>
        <v>31534</v>
      </c>
      <c r="L94" s="43">
        <f>Cornerstone!L94+SPOL!L93+Hamline!L93+BlueLine!L93+MPLSHOPWA1!L93+MPLSHOPWA2!L93</f>
        <v>31534</v>
      </c>
      <c r="M94" s="43">
        <f>Cornerstone!M94+SPOL!M93+Hamline!M93+BlueLine!M93+MPLSHOPWA1!M93+MPLSHOPWA2!M93</f>
        <v>31534</v>
      </c>
      <c r="N94" s="43">
        <f>Cornerstone!N94+SPOL!N93+Hamline!N93+BlueLine!N93+MPLSHOPWA1!N93+MPLSHOPWA2!N93</f>
        <v>31534</v>
      </c>
      <c r="O94" s="43">
        <f>Cornerstone!O94+SPOL!O93+Hamline!O93+BlueLine!O93+MPLSHOPWA1!O93+MPLSHOPWA2!O93</f>
        <v>31534</v>
      </c>
      <c r="P94" s="43">
        <f t="shared" si="11"/>
        <v>378408</v>
      </c>
    </row>
    <row r="95" spans="1:17" x14ac:dyDescent="0.3">
      <c r="A95" s="1"/>
      <c r="B95" s="2" t="s">
        <v>76</v>
      </c>
      <c r="D95" s="43">
        <f>Cornerstone!D95+SPOL!D94+Hamline!D94+BlueLine!D94+MPLSHOPWA1!D94+MPLSHOPWA2!D94</f>
        <v>0</v>
      </c>
      <c r="E95" s="43">
        <f>Cornerstone!E95+SPOL!E94+Hamline!E94+BlueLine!E94+MPLSHOPWA1!E94+MPLSHOPWA2!E94</f>
        <v>0</v>
      </c>
      <c r="F95" s="43">
        <f>Cornerstone!F95+SPOL!F94+Hamline!F94+BlueLine!F94+MPLSHOPWA1!F94+MPLSHOPWA2!F94</f>
        <v>0</v>
      </c>
      <c r="G95" s="43">
        <f>Cornerstone!G95+SPOL!G94+Hamline!G94+BlueLine!G94+MPLSHOPWA1!G94+MPLSHOPWA2!G94</f>
        <v>0</v>
      </c>
      <c r="H95" s="43">
        <f>Cornerstone!H95+SPOL!H94+Hamline!H94+BlueLine!H94+MPLSHOPWA1!H94+MPLSHOPWA2!H94</f>
        <v>0</v>
      </c>
      <c r="I95" s="43">
        <f>Cornerstone!I95+SPOL!I94+Hamline!I94+BlueLine!I94+MPLSHOPWA1!I94+MPLSHOPWA2!I94</f>
        <v>0</v>
      </c>
      <c r="J95" s="43">
        <f>Cornerstone!J95+SPOL!J94+Hamline!J94+BlueLine!J94+MPLSHOPWA1!J94+MPLSHOPWA2!J94</f>
        <v>0</v>
      </c>
      <c r="K95" s="43">
        <f>Cornerstone!K95+SPOL!K94+Hamline!K94+BlueLine!K94+MPLSHOPWA1!K94+MPLSHOPWA2!K94</f>
        <v>0</v>
      </c>
      <c r="L95" s="43">
        <f>Cornerstone!L95+SPOL!L94+Hamline!L94+BlueLine!L94+MPLSHOPWA1!L94+MPLSHOPWA2!L94</f>
        <v>0</v>
      </c>
      <c r="M95" s="43">
        <f>Cornerstone!M95+SPOL!M94+Hamline!M94+BlueLine!M94+MPLSHOPWA1!M94+MPLSHOPWA2!M94</f>
        <v>0</v>
      </c>
      <c r="N95" s="43">
        <f>Cornerstone!N95+SPOL!N94+Hamline!N94+BlueLine!N94+MPLSHOPWA1!N94+MPLSHOPWA2!N94</f>
        <v>0</v>
      </c>
      <c r="O95" s="43">
        <f>Cornerstone!O95+SPOL!O94+Hamline!O94+BlueLine!O94+MPLSHOPWA1!O94+MPLSHOPWA2!O94</f>
        <v>0</v>
      </c>
      <c r="P95" s="43">
        <f t="shared" si="11"/>
        <v>0</v>
      </c>
    </row>
    <row r="96" spans="1:17" x14ac:dyDescent="0.3">
      <c r="A96" s="1"/>
      <c r="B96" s="2" t="s">
        <v>77</v>
      </c>
      <c r="D96" s="43">
        <f>Cornerstone!D96+SPOL!D95+Hamline!D95+BlueLine!D95</f>
        <v>0</v>
      </c>
      <c r="E96" s="43">
        <f>Cornerstone!E96+SPOL!E95+Hamline!E95+BlueLine!E95</f>
        <v>0</v>
      </c>
      <c r="F96" s="43">
        <f>Cornerstone!F96+SPOL!F95+Hamline!F95+BlueLine!F95</f>
        <v>0</v>
      </c>
      <c r="G96" s="43">
        <f>Cornerstone!G96+SPOL!G95+Hamline!G95+BlueLine!G95</f>
        <v>0</v>
      </c>
      <c r="H96" s="43">
        <f>Cornerstone!H96+SPOL!H95+Hamline!H95+BlueLine!H95</f>
        <v>0</v>
      </c>
      <c r="I96" s="43">
        <f>Cornerstone!I96+SPOL!I95+Hamline!I95+BlueLine!I95</f>
        <v>0</v>
      </c>
      <c r="J96" s="43">
        <f>Cornerstone!J96+SPOL!J95+Hamline!J95+BlueLine!J95</f>
        <v>0</v>
      </c>
      <c r="K96" s="43">
        <f>Cornerstone!K96+SPOL!K95+Hamline!K95+BlueLine!K95</f>
        <v>0</v>
      </c>
      <c r="L96" s="43">
        <f>Cornerstone!L96+SPOL!L95+Hamline!L95+BlueLine!L95</f>
        <v>0</v>
      </c>
      <c r="M96" s="43">
        <f>Cornerstone!M96+SPOL!M95+Hamline!M95+BlueLine!M95</f>
        <v>0</v>
      </c>
      <c r="N96" s="43">
        <f>Cornerstone!N96+SPOL!N95+Hamline!N95+BlueLine!N95</f>
        <v>0</v>
      </c>
      <c r="O96" s="43">
        <f>Cornerstone!O96+SPOL!O95+Hamline!O95+BlueLine!O95</f>
        <v>0</v>
      </c>
      <c r="P96" s="43">
        <f t="shared" si="11"/>
        <v>0</v>
      </c>
    </row>
    <row r="97" spans="1:17" x14ac:dyDescent="0.3">
      <c r="A97" s="1"/>
      <c r="B97" s="2" t="s">
        <v>78</v>
      </c>
      <c r="D97" s="43">
        <f>Cornerstone!D97+SPOL!D96+Hamline!D96+BlueLine!D96</f>
        <v>0</v>
      </c>
      <c r="E97" s="43">
        <f>Cornerstone!E97+SPOL!E96+Hamline!E96+BlueLine!E96</f>
        <v>0</v>
      </c>
      <c r="F97" s="43">
        <f>Cornerstone!F97+SPOL!F96+Hamline!F96+BlueLine!F96</f>
        <v>0</v>
      </c>
      <c r="G97" s="43">
        <f>Cornerstone!G97+SPOL!G96+Hamline!G96+BlueLine!G96</f>
        <v>0</v>
      </c>
      <c r="H97" s="43">
        <f>Cornerstone!H97+SPOL!H96+Hamline!H96+BlueLine!H96</f>
        <v>0</v>
      </c>
      <c r="I97" s="43">
        <f>Cornerstone!I97+SPOL!I96+Hamline!I96+BlueLine!I96</f>
        <v>0</v>
      </c>
      <c r="J97" s="43">
        <f>Cornerstone!J97+SPOL!J96+Hamline!J96+BlueLine!J96</f>
        <v>0</v>
      </c>
      <c r="K97" s="43">
        <f>Cornerstone!K97+SPOL!K96+Hamline!K96+BlueLine!K96</f>
        <v>0</v>
      </c>
      <c r="L97" s="43">
        <f>Cornerstone!L97+SPOL!L96+Hamline!L96+BlueLine!L96</f>
        <v>0</v>
      </c>
      <c r="M97" s="43">
        <f>Cornerstone!M97+SPOL!M96+Hamline!M96+BlueLine!M96</f>
        <v>0</v>
      </c>
      <c r="N97" s="43">
        <f>Cornerstone!N97+SPOL!N96+Hamline!N96+BlueLine!N96</f>
        <v>0</v>
      </c>
      <c r="O97" s="43">
        <f>Cornerstone!O97+SPOL!O96+Hamline!O96+BlueLine!O96</f>
        <v>0</v>
      </c>
      <c r="P97" s="43">
        <f t="shared" si="11"/>
        <v>0</v>
      </c>
    </row>
    <row r="98" spans="1:17" x14ac:dyDescent="0.3">
      <c r="A98" s="1"/>
      <c r="B98" s="2" t="s">
        <v>79</v>
      </c>
      <c r="D98" s="43">
        <f>Cornerstone!D98+SPOL!D97+Hamline!D97+BlueLine!D97</f>
        <v>0</v>
      </c>
      <c r="E98" s="43">
        <f>Cornerstone!E98+SPOL!E97+Hamline!E97+BlueLine!E97</f>
        <v>0</v>
      </c>
      <c r="F98" s="43">
        <f>Cornerstone!F98+SPOL!F97+Hamline!F97+BlueLine!F97</f>
        <v>0</v>
      </c>
      <c r="G98" s="43">
        <f>Cornerstone!G98+SPOL!G97+Hamline!G97+BlueLine!G97</f>
        <v>0</v>
      </c>
      <c r="H98" s="43">
        <f>Cornerstone!H98+SPOL!H97+Hamline!H97+BlueLine!H97</f>
        <v>0</v>
      </c>
      <c r="I98" s="43">
        <f>Cornerstone!I98+SPOL!I97+Hamline!I97+BlueLine!I97</f>
        <v>0</v>
      </c>
      <c r="J98" s="43">
        <f>Cornerstone!J98+SPOL!J97+Hamline!J97+BlueLine!J97</f>
        <v>0</v>
      </c>
      <c r="K98" s="43">
        <f>Cornerstone!K98+SPOL!K97+Hamline!K97+BlueLine!K97</f>
        <v>0</v>
      </c>
      <c r="L98" s="43">
        <f>Cornerstone!L98+SPOL!L97+Hamline!L97+BlueLine!L97</f>
        <v>0</v>
      </c>
      <c r="M98" s="43">
        <f>Cornerstone!M98+SPOL!M97+Hamline!M97+BlueLine!M97</f>
        <v>0</v>
      </c>
      <c r="N98" s="43">
        <f>Cornerstone!N98+SPOL!N97+Hamline!N97+BlueLine!N97</f>
        <v>0</v>
      </c>
      <c r="O98" s="43">
        <f>Cornerstone!O98+SPOL!O97+Hamline!O97+BlueLine!O97</f>
        <v>0</v>
      </c>
      <c r="P98" s="43">
        <f t="shared" si="11"/>
        <v>0</v>
      </c>
    </row>
    <row r="99" spans="1:17" x14ac:dyDescent="0.3">
      <c r="A99" s="1"/>
      <c r="B99" s="2" t="s">
        <v>80</v>
      </c>
      <c r="D99" s="43">
        <f>Cornerstone!D99+SPOL!D98+Hamline!D98+BlueLine!D98</f>
        <v>0</v>
      </c>
      <c r="E99" s="43">
        <f>Cornerstone!E99+SPOL!E98+Hamline!E98+BlueLine!E98</f>
        <v>0</v>
      </c>
      <c r="F99" s="43">
        <f>Cornerstone!F99+SPOL!F98+Hamline!F98+BlueLine!F98</f>
        <v>0</v>
      </c>
      <c r="G99" s="43">
        <f>Cornerstone!G99+SPOL!G98+Hamline!G98+BlueLine!G98</f>
        <v>0</v>
      </c>
      <c r="H99" s="43">
        <f>Cornerstone!H99+SPOL!H98+Hamline!H98+BlueLine!H98</f>
        <v>0</v>
      </c>
      <c r="I99" s="43">
        <f>Cornerstone!I99+SPOL!I98+Hamline!I98+BlueLine!I98</f>
        <v>0</v>
      </c>
      <c r="J99" s="43">
        <f>Cornerstone!J99+SPOL!J98+Hamline!J98+BlueLine!J98</f>
        <v>0</v>
      </c>
      <c r="K99" s="43">
        <f>Cornerstone!K99+SPOL!K98+Hamline!K98+BlueLine!K98</f>
        <v>0</v>
      </c>
      <c r="L99" s="43">
        <f>Cornerstone!L99+SPOL!L98+Hamline!L98+BlueLine!L98</f>
        <v>0</v>
      </c>
      <c r="M99" s="43">
        <f>Cornerstone!M99+SPOL!M98+Hamline!M98+BlueLine!M98</f>
        <v>0</v>
      </c>
      <c r="N99" s="43">
        <f>Cornerstone!N99+SPOL!N98+Hamline!N98+BlueLine!N98</f>
        <v>0</v>
      </c>
      <c r="O99" s="43">
        <f>Cornerstone!O99+SPOL!O98+Hamline!O98+BlueLine!O98</f>
        <v>0</v>
      </c>
      <c r="P99" s="43">
        <f t="shared" si="11"/>
        <v>0</v>
      </c>
    </row>
    <row r="100" spans="1:17" x14ac:dyDescent="0.3">
      <c r="A100" s="1"/>
      <c r="B100" s="2" t="s">
        <v>81</v>
      </c>
      <c r="D100" s="43">
        <f>Cornerstone!D100+SPOL!D99+Hamline!D99+BlueLine!D99</f>
        <v>0</v>
      </c>
      <c r="E100" s="43">
        <f>Cornerstone!E100+SPOL!E99+Hamline!E99+BlueLine!E99</f>
        <v>0</v>
      </c>
      <c r="F100" s="43">
        <f>Cornerstone!F100+SPOL!F99+Hamline!F99+BlueLine!F99</f>
        <v>0</v>
      </c>
      <c r="G100" s="43">
        <f>Cornerstone!G100+SPOL!G99+Hamline!G99+BlueLine!G99</f>
        <v>0</v>
      </c>
      <c r="H100" s="43">
        <f>Cornerstone!H100+SPOL!H99+Hamline!H99+BlueLine!H99</f>
        <v>0</v>
      </c>
      <c r="I100" s="43">
        <f>Cornerstone!I100+SPOL!I99+Hamline!I99+BlueLine!I99</f>
        <v>0</v>
      </c>
      <c r="J100" s="43">
        <f>Cornerstone!J100+SPOL!J99+Hamline!J99+BlueLine!J99</f>
        <v>0</v>
      </c>
      <c r="K100" s="43">
        <f>Cornerstone!K100+SPOL!K99+Hamline!K99+BlueLine!K99</f>
        <v>0</v>
      </c>
      <c r="L100" s="43">
        <f>Cornerstone!L100+SPOL!L99+Hamline!L99+BlueLine!L99</f>
        <v>0</v>
      </c>
      <c r="M100" s="43">
        <f>Cornerstone!M100+SPOL!M99+Hamline!M99+BlueLine!M99</f>
        <v>0</v>
      </c>
      <c r="N100" s="43">
        <f>Cornerstone!N100+SPOL!N99+Hamline!N99+BlueLine!N99</f>
        <v>0</v>
      </c>
      <c r="O100" s="43">
        <f>Cornerstone!O100+SPOL!O99+Hamline!O99+BlueLine!O99</f>
        <v>0</v>
      </c>
      <c r="P100" s="43">
        <f t="shared" si="11"/>
        <v>0</v>
      </c>
    </row>
    <row r="101" spans="1:17" x14ac:dyDescent="0.3">
      <c r="A101" s="1"/>
      <c r="B101" s="2" t="s">
        <v>82</v>
      </c>
      <c r="D101" s="43">
        <f>Cornerstone!D101+SPOL!D100+Hamline!D100+BlueLine!D100</f>
        <v>0</v>
      </c>
      <c r="E101" s="43">
        <f>Cornerstone!E101+SPOL!E100+Hamline!E100+BlueLine!E100</f>
        <v>0</v>
      </c>
      <c r="F101" s="43">
        <f>Cornerstone!F101+SPOL!F100+Hamline!F100+BlueLine!F100</f>
        <v>0</v>
      </c>
      <c r="G101" s="43">
        <f>Cornerstone!G101+SPOL!G100+Hamline!G100+BlueLine!G100</f>
        <v>0</v>
      </c>
      <c r="H101" s="43">
        <f>Cornerstone!H101+SPOL!H100+Hamline!H100+BlueLine!H100</f>
        <v>0</v>
      </c>
      <c r="I101" s="43">
        <f>Cornerstone!I101+SPOL!I100+Hamline!I100+BlueLine!I100</f>
        <v>0</v>
      </c>
      <c r="J101" s="43">
        <f>Cornerstone!J101+SPOL!J100+Hamline!J100+BlueLine!J100</f>
        <v>0</v>
      </c>
      <c r="K101" s="43">
        <f>Cornerstone!K101+SPOL!K100+Hamline!K100+BlueLine!K100</f>
        <v>0</v>
      </c>
      <c r="L101" s="43">
        <f>Cornerstone!L101+SPOL!L100+Hamline!L100+BlueLine!L100</f>
        <v>0</v>
      </c>
      <c r="M101" s="43">
        <f>Cornerstone!M101+SPOL!M100+Hamline!M100+BlueLine!M100</f>
        <v>0</v>
      </c>
      <c r="N101" s="43">
        <f>Cornerstone!N101+SPOL!N100+Hamline!N100+BlueLine!N100</f>
        <v>0</v>
      </c>
      <c r="O101" s="43">
        <f>Cornerstone!O101+SPOL!O100+Hamline!O100+BlueLine!O100</f>
        <v>0</v>
      </c>
      <c r="P101" s="43">
        <f t="shared" si="11"/>
        <v>0</v>
      </c>
    </row>
    <row r="102" spans="1:17" x14ac:dyDescent="0.3">
      <c r="A102" s="1"/>
      <c r="B102" s="2" t="s">
        <v>83</v>
      </c>
      <c r="D102" s="43">
        <f>Cornerstone!D102+SPOL!D101+Hamline!D101+BlueLine!D101</f>
        <v>0</v>
      </c>
      <c r="E102" s="43">
        <f>Cornerstone!E102+SPOL!E101+Hamline!E101+BlueLine!E101</f>
        <v>0</v>
      </c>
      <c r="F102" s="43">
        <f>Cornerstone!F102+SPOL!F101+Hamline!F101+BlueLine!F101</f>
        <v>0</v>
      </c>
      <c r="G102" s="43">
        <f>Cornerstone!G102+SPOL!G101+Hamline!G101+BlueLine!G101</f>
        <v>0</v>
      </c>
      <c r="H102" s="43">
        <f>Cornerstone!H102+SPOL!H101+Hamline!H101+BlueLine!H101</f>
        <v>0</v>
      </c>
      <c r="I102" s="43">
        <f>Cornerstone!I102+SPOL!I101+Hamline!I101+BlueLine!I101</f>
        <v>0</v>
      </c>
      <c r="J102" s="43">
        <f>Cornerstone!J102+SPOL!J101+Hamline!J101+BlueLine!J101</f>
        <v>0</v>
      </c>
      <c r="K102" s="43">
        <f>Cornerstone!K102+SPOL!K101+Hamline!K101+BlueLine!K101</f>
        <v>0</v>
      </c>
      <c r="L102" s="43">
        <f>Cornerstone!L102+SPOL!L101+Hamline!L101+BlueLine!L101</f>
        <v>0</v>
      </c>
      <c r="M102" s="43">
        <f>Cornerstone!M102+SPOL!M101+Hamline!M101+BlueLine!M101</f>
        <v>0</v>
      </c>
      <c r="N102" s="43">
        <f>Cornerstone!N102+SPOL!N101+Hamline!N101+BlueLine!N101</f>
        <v>0</v>
      </c>
      <c r="O102" s="43">
        <f>Cornerstone!O102+SPOL!O101+Hamline!O101+BlueLine!O101</f>
        <v>0</v>
      </c>
      <c r="P102" s="43">
        <f t="shared" si="11"/>
        <v>0</v>
      </c>
    </row>
    <row r="103" spans="1:17" x14ac:dyDescent="0.3">
      <c r="A103" s="1"/>
      <c r="B103" s="1"/>
      <c r="D103" s="43">
        <f>Cornerstone!D103+SPOL!D102+Hamline!D102+BlueLine!D102</f>
        <v>0</v>
      </c>
      <c r="E103" s="43">
        <f>Cornerstone!E103+SPOL!E102+Hamline!E102+BlueLine!E102</f>
        <v>0</v>
      </c>
      <c r="F103" s="43">
        <f>Cornerstone!F103+SPOL!F102+Hamline!F102+BlueLine!F102</f>
        <v>0</v>
      </c>
      <c r="G103" s="43">
        <f>Cornerstone!G103+SPOL!G102+Hamline!G102+BlueLine!G102</f>
        <v>0</v>
      </c>
      <c r="H103" s="43">
        <f>Cornerstone!H103+SPOL!H102+Hamline!H102+BlueLine!H102</f>
        <v>0</v>
      </c>
      <c r="I103" s="43">
        <f>Cornerstone!I103+SPOL!I102+Hamline!I102+BlueLine!I102</f>
        <v>0</v>
      </c>
      <c r="J103" s="43">
        <f>Cornerstone!J103+SPOL!J102+Hamline!J102+BlueLine!J102</f>
        <v>0</v>
      </c>
      <c r="K103" s="43">
        <f>Cornerstone!K103+SPOL!K102+Hamline!K102+BlueLine!K102</f>
        <v>0</v>
      </c>
      <c r="L103" s="43">
        <f>Cornerstone!L103+SPOL!L102+Hamline!L102+BlueLine!L102</f>
        <v>0</v>
      </c>
      <c r="M103" s="43">
        <f>Cornerstone!M103+SPOL!M102+Hamline!M102+BlueLine!M102</f>
        <v>0</v>
      </c>
      <c r="N103" s="43">
        <f>Cornerstone!N103+SPOL!N102+Hamline!N102+BlueLine!N102</f>
        <v>0</v>
      </c>
      <c r="O103" s="43">
        <f>Cornerstone!O103+SPOL!O102+Hamline!O102+BlueLine!O102</f>
        <v>0</v>
      </c>
      <c r="P103" s="43">
        <f t="shared" si="11"/>
        <v>0</v>
      </c>
    </row>
    <row r="104" spans="1:17" x14ac:dyDescent="0.3">
      <c r="A104" s="1"/>
      <c r="B104" s="2"/>
      <c r="D104" s="43">
        <f>Cornerstone!D104+SPOL!D103+Hamline!D103+BlueLine!D103</f>
        <v>0</v>
      </c>
      <c r="E104" s="43">
        <f>Cornerstone!E104+SPOL!E103+Hamline!E103+BlueLine!E103</f>
        <v>0</v>
      </c>
      <c r="F104" s="43">
        <f>Cornerstone!F104+SPOL!F103+Hamline!F103+BlueLine!F103</f>
        <v>0</v>
      </c>
      <c r="G104" s="43">
        <f>Cornerstone!G104+SPOL!G103+Hamline!G103+BlueLine!G103</f>
        <v>0</v>
      </c>
      <c r="H104" s="43">
        <f>Cornerstone!H104+SPOL!H103+Hamline!H103+BlueLine!H103</f>
        <v>0</v>
      </c>
      <c r="I104" s="43">
        <f>Cornerstone!I104+SPOL!I103+Hamline!I103+BlueLine!I103</f>
        <v>0</v>
      </c>
      <c r="J104" s="43">
        <f>Cornerstone!J104+SPOL!J103+Hamline!J103+BlueLine!J103</f>
        <v>0</v>
      </c>
      <c r="K104" s="43">
        <f>Cornerstone!K104+SPOL!K103+Hamline!K103+BlueLine!K103</f>
        <v>0</v>
      </c>
      <c r="L104" s="43">
        <f>Cornerstone!L104+SPOL!L103+Hamline!L103+BlueLine!L103</f>
        <v>0</v>
      </c>
      <c r="M104" s="43">
        <f>Cornerstone!M104+SPOL!M103+Hamline!M103+BlueLine!M103</f>
        <v>0</v>
      </c>
      <c r="N104" s="43">
        <f>Cornerstone!N104+SPOL!N103+Hamline!N103+BlueLine!N103</f>
        <v>0</v>
      </c>
      <c r="O104" s="43">
        <f>Cornerstone!O104+SPOL!O103+Hamline!O103+BlueLine!O103</f>
        <v>0</v>
      </c>
      <c r="P104" s="43">
        <f t="shared" si="11"/>
        <v>0</v>
      </c>
    </row>
    <row r="105" spans="1:17" x14ac:dyDescent="0.3">
      <c r="A105" s="1"/>
      <c r="B105" s="2"/>
      <c r="D105" s="43">
        <f>Cornerstone!D105+SPOL!D104+Hamline!D104+BlueLine!D104</f>
        <v>0</v>
      </c>
      <c r="E105" s="43">
        <f>Cornerstone!E105+SPOL!E104+Hamline!E104+BlueLine!E104</f>
        <v>0</v>
      </c>
      <c r="F105" s="43">
        <f>Cornerstone!F105+SPOL!F104+Hamline!F104+BlueLine!F104</f>
        <v>0</v>
      </c>
      <c r="G105" s="43">
        <f>Cornerstone!G105+SPOL!G104+Hamline!G104+BlueLine!G104</f>
        <v>0</v>
      </c>
      <c r="H105" s="43">
        <f>Cornerstone!H105+SPOL!H104+Hamline!H104+BlueLine!H104</f>
        <v>0</v>
      </c>
      <c r="I105" s="43">
        <f>Cornerstone!I105+SPOL!I104+Hamline!I104+BlueLine!I104</f>
        <v>0</v>
      </c>
      <c r="J105" s="43">
        <f>Cornerstone!J105+SPOL!J104+Hamline!J104+BlueLine!J104</f>
        <v>0</v>
      </c>
      <c r="K105" s="43">
        <f>Cornerstone!K105+SPOL!K104+Hamline!K104+BlueLine!K104</f>
        <v>0</v>
      </c>
      <c r="L105" s="43">
        <f>Cornerstone!L105+SPOL!L104+Hamline!L104+BlueLine!L104</f>
        <v>0</v>
      </c>
      <c r="M105" s="43">
        <f>Cornerstone!M105+SPOL!M104+Hamline!M104+BlueLine!M104</f>
        <v>0</v>
      </c>
      <c r="N105" s="43">
        <f>Cornerstone!N105+SPOL!N104+Hamline!N104+BlueLine!N104</f>
        <v>0</v>
      </c>
      <c r="O105" s="43">
        <f>Cornerstone!O105+SPOL!O104+Hamline!O104+BlueLine!O104</f>
        <v>0</v>
      </c>
      <c r="P105" s="43">
        <f t="shared" si="11"/>
        <v>0</v>
      </c>
    </row>
    <row r="106" spans="1:17" x14ac:dyDescent="0.3">
      <c r="A106" s="195" t="s">
        <v>84</v>
      </c>
      <c r="B106" s="195"/>
      <c r="D106" s="43">
        <f>Cornerstone!D106+SPOL!D105+Hamline!D105+BlueLine!D105</f>
        <v>18254</v>
      </c>
      <c r="E106" s="43">
        <f>Cornerstone!E106+SPOL!E105+Hamline!E105+BlueLine!E105</f>
        <v>18254</v>
      </c>
      <c r="F106" s="43">
        <f>Cornerstone!F106+SPOL!F105+Hamline!F105+BlueLine!F105</f>
        <v>18254</v>
      </c>
      <c r="G106" s="43">
        <f>Cornerstone!G106+SPOL!G105+Hamline!G105+BlueLine!G105</f>
        <v>18254</v>
      </c>
      <c r="H106" s="43">
        <f>Cornerstone!H106+SPOL!H105+Hamline!H105+BlueLine!H105</f>
        <v>18254</v>
      </c>
      <c r="I106" s="43">
        <f>Cornerstone!I106+SPOL!I105+Hamline!I105+BlueLine!I105</f>
        <v>18254</v>
      </c>
      <c r="J106" s="43">
        <f>Cornerstone!J106+SPOL!J105+Hamline!J105+BlueLine!J105</f>
        <v>18254</v>
      </c>
      <c r="K106" s="43">
        <f>Cornerstone!K106+SPOL!K105+Hamline!K105+BlueLine!K105</f>
        <v>18254</v>
      </c>
      <c r="L106" s="43">
        <f>Cornerstone!L106+SPOL!L105+Hamline!L105+BlueLine!L105</f>
        <v>18254</v>
      </c>
      <c r="M106" s="43">
        <f>Cornerstone!M106+SPOL!M105+Hamline!M105+BlueLine!M105</f>
        <v>18254</v>
      </c>
      <c r="N106" s="43">
        <f>Cornerstone!N106+SPOL!N105+Hamline!N105+BlueLine!N105</f>
        <v>18254</v>
      </c>
      <c r="O106" s="43">
        <f>Cornerstone!O106+SPOL!O105+Hamline!O105+BlueLine!O105</f>
        <v>18254</v>
      </c>
      <c r="P106" s="30">
        <f>SUM(P87:P105)</f>
        <v>378408</v>
      </c>
      <c r="Q106" s="29">
        <f>SUM(P87:P105)-P106</f>
        <v>0</v>
      </c>
    </row>
    <row r="107" spans="1:17" x14ac:dyDescent="0.3">
      <c r="A107" s="1"/>
      <c r="B107" s="2" t="s">
        <v>85</v>
      </c>
      <c r="D107" s="30">
        <f t="shared" ref="D107:P107" si="12">D106+D85+D54+D43</f>
        <v>31465.56235824</v>
      </c>
      <c r="E107" s="30">
        <f t="shared" si="12"/>
        <v>31465.572525110401</v>
      </c>
      <c r="F107" s="30">
        <f t="shared" si="12"/>
        <v>37803.858787665595</v>
      </c>
      <c r="G107" s="30">
        <f t="shared" si="12"/>
        <v>31465.572525110401</v>
      </c>
      <c r="H107" s="30">
        <f t="shared" si="12"/>
        <v>31465.572525110401</v>
      </c>
      <c r="I107" s="30">
        <f t="shared" si="12"/>
        <v>31465.572525110401</v>
      </c>
      <c r="J107" s="30">
        <f t="shared" si="12"/>
        <v>31465.572525110401</v>
      </c>
      <c r="K107" s="30">
        <f t="shared" si="12"/>
        <v>37803.858787665595</v>
      </c>
      <c r="L107" s="30">
        <f t="shared" si="12"/>
        <v>31465.572525110401</v>
      </c>
      <c r="M107" s="30">
        <f t="shared" si="12"/>
        <v>31465.572525110401</v>
      </c>
      <c r="N107" s="30">
        <f t="shared" si="12"/>
        <v>31465.572525110401</v>
      </c>
      <c r="O107" s="30">
        <f t="shared" si="12"/>
        <v>31465.572525110401</v>
      </c>
      <c r="P107" s="30">
        <f t="shared" si="12"/>
        <v>549623.43265956477</v>
      </c>
    </row>
    <row r="108" spans="1:17" x14ac:dyDescent="0.3">
      <c r="A108" s="1"/>
      <c r="B108" s="2" t="s">
        <v>86</v>
      </c>
    </row>
    <row r="110" spans="1:17" ht="15" thickBot="1" x14ac:dyDescent="0.35">
      <c r="B110" t="s">
        <v>112</v>
      </c>
      <c r="D110" s="31">
        <f t="shared" ref="D110:P110" si="13">D32-D107-D108</f>
        <v>24786.54764176</v>
      </c>
      <c r="E110" s="31">
        <f t="shared" si="13"/>
        <v>19193.107474889599</v>
      </c>
      <c r="F110" s="31">
        <f t="shared" si="13"/>
        <v>13473.751212334406</v>
      </c>
      <c r="G110" s="31">
        <f t="shared" si="13"/>
        <v>19605.727474889602</v>
      </c>
      <c r="H110" s="31">
        <f t="shared" si="13"/>
        <v>19812.037474889599</v>
      </c>
      <c r="I110" s="31">
        <f t="shared" si="13"/>
        <v>19605.727474889602</v>
      </c>
      <c r="J110" s="31">
        <f t="shared" si="13"/>
        <v>23028.537474889599</v>
      </c>
      <c r="K110" s="31">
        <f t="shared" si="13"/>
        <v>15231.751212334406</v>
      </c>
      <c r="L110" s="31">
        <f t="shared" si="13"/>
        <v>19312.727474889602</v>
      </c>
      <c r="M110" s="31">
        <f t="shared" si="13"/>
        <v>19519.037474889599</v>
      </c>
      <c r="N110" s="31">
        <f t="shared" si="13"/>
        <v>19312.727474889602</v>
      </c>
      <c r="O110" s="31">
        <f t="shared" si="13"/>
        <v>19519.037474889599</v>
      </c>
      <c r="P110" s="31">
        <f t="shared" si="13"/>
        <v>73040.717340435251</v>
      </c>
    </row>
    <row r="111" spans="1:17" ht="15" thickTop="1" x14ac:dyDescent="0.3"/>
  </sheetData>
  <mergeCells count="16">
    <mergeCell ref="A19:B19"/>
    <mergeCell ref="A4:B4"/>
    <mergeCell ref="A5:B5"/>
    <mergeCell ref="A12:B12"/>
    <mergeCell ref="A13:B13"/>
    <mergeCell ref="A18:B18"/>
    <mergeCell ref="A55:B55"/>
    <mergeCell ref="A85:B85"/>
    <mergeCell ref="A86:B86"/>
    <mergeCell ref="A106:B106"/>
    <mergeCell ref="A26:B26"/>
    <mergeCell ref="A27:B27"/>
    <mergeCell ref="A34:B34"/>
    <mergeCell ref="A43:B43"/>
    <mergeCell ref="A44:B44"/>
    <mergeCell ref="A54:B54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11"/>
  <sheetViews>
    <sheetView workbookViewId="0">
      <pane xSplit="3" ySplit="4" topLeftCell="D23" activePane="bottomRight" state="frozen"/>
      <selection pane="topRight" activeCell="D1" sqref="D1"/>
      <selection pane="bottomLeft" activeCell="A4" sqref="A4"/>
      <selection pane="bottomRight" activeCell="D39" sqref="D39:O39"/>
    </sheetView>
  </sheetViews>
  <sheetFormatPr defaultRowHeight="14.4" x14ac:dyDescent="0.3"/>
  <cols>
    <col min="2" max="2" width="29.44140625" customWidth="1"/>
    <col min="3" max="3" width="2.44140625" customWidth="1"/>
    <col min="4" max="16" width="9.109375" style="43"/>
  </cols>
  <sheetData>
    <row r="1" spans="1:17" s="42" customFormat="1" x14ac:dyDescent="0.3"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4" spans="1:17" x14ac:dyDescent="0.3">
      <c r="D4" s="54" t="s">
        <v>100</v>
      </c>
      <c r="E4" s="54" t="s">
        <v>101</v>
      </c>
      <c r="F4" s="54" t="s">
        <v>102</v>
      </c>
      <c r="G4" s="54" t="s">
        <v>103</v>
      </c>
      <c r="H4" s="54" t="s">
        <v>104</v>
      </c>
      <c r="I4" s="54" t="s">
        <v>105</v>
      </c>
      <c r="J4" s="54" t="s">
        <v>106</v>
      </c>
      <c r="K4" s="54" t="s">
        <v>107</v>
      </c>
      <c r="L4" s="54" t="s">
        <v>108</v>
      </c>
      <c r="M4" s="54" t="s">
        <v>109</v>
      </c>
      <c r="N4" s="54" t="s">
        <v>110</v>
      </c>
      <c r="O4" s="54" t="s">
        <v>111</v>
      </c>
      <c r="P4" s="9" t="s">
        <v>113</v>
      </c>
    </row>
    <row r="5" spans="1:17" x14ac:dyDescent="0.3">
      <c r="A5" s="195" t="s">
        <v>99</v>
      </c>
      <c r="B5" s="195"/>
    </row>
    <row r="6" spans="1:17" x14ac:dyDescent="0.3">
      <c r="A6" s="195" t="s">
        <v>1</v>
      </c>
      <c r="B6" s="195"/>
    </row>
    <row r="7" spans="1:17" x14ac:dyDescent="0.3">
      <c r="A7" s="1"/>
      <c r="B7" s="94" t="s">
        <v>2</v>
      </c>
      <c r="P7" s="43">
        <f t="shared" ref="P7:P12" si="0">SUM(D7:O7)</f>
        <v>0</v>
      </c>
    </row>
    <row r="8" spans="1:17" x14ac:dyDescent="0.3">
      <c r="A8" s="1"/>
      <c r="B8" s="94" t="s">
        <v>204</v>
      </c>
      <c r="I8" s="43">
        <v>0</v>
      </c>
      <c r="P8" s="43">
        <f t="shared" si="0"/>
        <v>0</v>
      </c>
    </row>
    <row r="9" spans="1:17" s="42" customFormat="1" x14ac:dyDescent="0.3">
      <c r="A9" s="1"/>
      <c r="B9" s="94" t="s">
        <v>205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>
        <f t="shared" si="0"/>
        <v>0</v>
      </c>
    </row>
    <row r="10" spans="1:17" x14ac:dyDescent="0.3">
      <c r="A10" s="1"/>
      <c r="B10" s="94" t="s">
        <v>4</v>
      </c>
      <c r="P10" s="43">
        <f t="shared" si="0"/>
        <v>0</v>
      </c>
    </row>
    <row r="11" spans="1:17" s="42" customFormat="1" x14ac:dyDescent="0.3">
      <c r="A11" s="1"/>
      <c r="B11" s="94" t="s">
        <v>206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>
        <f t="shared" si="0"/>
        <v>0</v>
      </c>
    </row>
    <row r="12" spans="1:17" x14ac:dyDescent="0.3">
      <c r="A12" s="1"/>
      <c r="B12" s="94" t="s">
        <v>207</v>
      </c>
      <c r="D12" s="43">
        <v>2738</v>
      </c>
      <c r="E12" s="43">
        <v>2738</v>
      </c>
      <c r="F12" s="43">
        <v>2738</v>
      </c>
      <c r="G12" s="43">
        <v>2738</v>
      </c>
      <c r="H12" s="43">
        <v>2738</v>
      </c>
      <c r="I12" s="43">
        <v>2738</v>
      </c>
      <c r="J12" s="43">
        <v>2738</v>
      </c>
      <c r="K12" s="43">
        <v>2738</v>
      </c>
      <c r="L12" s="43">
        <v>2738</v>
      </c>
      <c r="M12" s="43">
        <v>2738</v>
      </c>
      <c r="N12" s="43">
        <v>2738</v>
      </c>
      <c r="O12" s="43">
        <v>2738</v>
      </c>
      <c r="P12" s="43">
        <f t="shared" si="0"/>
        <v>32856</v>
      </c>
    </row>
    <row r="13" spans="1:17" x14ac:dyDescent="0.3">
      <c r="A13" s="195" t="s">
        <v>6</v>
      </c>
      <c r="B13" s="195"/>
      <c r="D13" s="28">
        <f t="shared" ref="D13:I13" si="1">SUM(D7:D12)</f>
        <v>2738</v>
      </c>
      <c r="E13" s="28">
        <f t="shared" si="1"/>
        <v>2738</v>
      </c>
      <c r="F13" s="28">
        <f t="shared" si="1"/>
        <v>2738</v>
      </c>
      <c r="G13" s="28">
        <f t="shared" si="1"/>
        <v>2738</v>
      </c>
      <c r="H13" s="28">
        <f t="shared" si="1"/>
        <v>2738</v>
      </c>
      <c r="I13" s="28">
        <f t="shared" si="1"/>
        <v>2738</v>
      </c>
      <c r="J13" s="28">
        <f t="shared" ref="J13:P13" si="2">SUM(J7:J12)</f>
        <v>2738</v>
      </c>
      <c r="K13" s="28">
        <f t="shared" si="2"/>
        <v>2738</v>
      </c>
      <c r="L13" s="28">
        <f t="shared" si="2"/>
        <v>2738</v>
      </c>
      <c r="M13" s="28">
        <f t="shared" si="2"/>
        <v>2738</v>
      </c>
      <c r="N13" s="28">
        <f t="shared" si="2"/>
        <v>2738</v>
      </c>
      <c r="O13" s="28">
        <f t="shared" si="2"/>
        <v>2738</v>
      </c>
      <c r="P13" s="28">
        <f t="shared" si="2"/>
        <v>32856</v>
      </c>
      <c r="Q13" s="8">
        <f>P13-P7-P8-P10-P12</f>
        <v>0</v>
      </c>
    </row>
    <row r="14" spans="1:17" x14ac:dyDescent="0.3">
      <c r="A14" s="195" t="s">
        <v>7</v>
      </c>
      <c r="B14" s="195"/>
    </row>
    <row r="15" spans="1:17" x14ac:dyDescent="0.3">
      <c r="A15" s="1"/>
      <c r="B15" s="97" t="s">
        <v>8</v>
      </c>
      <c r="P15" s="43">
        <f>SUM(D15:O15)</f>
        <v>0</v>
      </c>
    </row>
    <row r="16" spans="1:17" x14ac:dyDescent="0.3">
      <c r="A16" s="1"/>
      <c r="B16" s="97" t="s">
        <v>9</v>
      </c>
      <c r="D16" s="43">
        <v>16596</v>
      </c>
      <c r="E16" s="43">
        <v>16596</v>
      </c>
      <c r="F16" s="43">
        <v>16596</v>
      </c>
      <c r="G16" s="43">
        <v>16596</v>
      </c>
      <c r="H16" s="43">
        <v>16596</v>
      </c>
      <c r="I16" s="43">
        <v>16596</v>
      </c>
      <c r="J16" s="43">
        <v>16596</v>
      </c>
      <c r="K16" s="43">
        <v>16596</v>
      </c>
      <c r="L16" s="43">
        <v>16596</v>
      </c>
      <c r="M16" s="43">
        <v>16596</v>
      </c>
      <c r="N16" s="43">
        <v>16596</v>
      </c>
      <c r="O16" s="43">
        <v>16596</v>
      </c>
      <c r="P16" s="43">
        <f>SUM(D16:O16)</f>
        <v>199152</v>
      </c>
    </row>
    <row r="17" spans="1:18" x14ac:dyDescent="0.3">
      <c r="A17" s="1"/>
      <c r="B17" s="97" t="s">
        <v>219</v>
      </c>
      <c r="D17" s="43">
        <f>(6433*1.5)-250</f>
        <v>9399.5</v>
      </c>
      <c r="E17" s="43">
        <f>6433-250</f>
        <v>6183</v>
      </c>
      <c r="F17" s="43">
        <f t="shared" ref="F17:I17" si="3">6433-250</f>
        <v>6183</v>
      </c>
      <c r="G17" s="43">
        <f t="shared" si="3"/>
        <v>6183</v>
      </c>
      <c r="H17" s="43">
        <f t="shared" si="3"/>
        <v>6183</v>
      </c>
      <c r="I17" s="43">
        <f t="shared" si="3"/>
        <v>6183</v>
      </c>
      <c r="J17" s="43">
        <f>(6433*1.5)-250</f>
        <v>9399.5</v>
      </c>
      <c r="K17" s="43">
        <f>6433-250</f>
        <v>6183</v>
      </c>
      <c r="L17" s="43">
        <f t="shared" ref="L17:O17" si="4">6433-250</f>
        <v>6183</v>
      </c>
      <c r="M17" s="43">
        <f t="shared" si="4"/>
        <v>6183</v>
      </c>
      <c r="N17" s="43">
        <f t="shared" si="4"/>
        <v>6183</v>
      </c>
      <c r="O17" s="43">
        <f t="shared" si="4"/>
        <v>6183</v>
      </c>
      <c r="P17" s="43">
        <f>SUM(D17:O17)</f>
        <v>80629</v>
      </c>
    </row>
    <row r="18" spans="1:18" x14ac:dyDescent="0.3">
      <c r="A18" s="1"/>
      <c r="B18" s="66" t="s">
        <v>16</v>
      </c>
      <c r="P18" s="43">
        <f>SUM(D18:O18)</f>
        <v>0</v>
      </c>
    </row>
    <row r="19" spans="1:18" x14ac:dyDescent="0.3">
      <c r="A19" s="195" t="s">
        <v>10</v>
      </c>
      <c r="B19" s="195"/>
      <c r="D19" s="28">
        <f>SUM(D15:D17)</f>
        <v>25995.5</v>
      </c>
      <c r="E19" s="28">
        <f>SUM(E15:E18)</f>
        <v>22779</v>
      </c>
      <c r="F19" s="28">
        <f>SUM(F15:F18)</f>
        <v>22779</v>
      </c>
      <c r="G19" s="28">
        <f>SUM(G15:G18)</f>
        <v>22779</v>
      </c>
      <c r="H19" s="28">
        <f>SUM(H15:H18)</f>
        <v>22779</v>
      </c>
      <c r="I19" s="28">
        <f>SUM(I15:I18)</f>
        <v>22779</v>
      </c>
      <c r="J19" s="28">
        <f t="shared" ref="J19:P19" si="5">SUM(J15:J18)</f>
        <v>25995.5</v>
      </c>
      <c r="K19" s="28">
        <f t="shared" si="5"/>
        <v>22779</v>
      </c>
      <c r="L19" s="28">
        <f t="shared" si="5"/>
        <v>22779</v>
      </c>
      <c r="M19" s="28">
        <f t="shared" si="5"/>
        <v>22779</v>
      </c>
      <c r="N19" s="28">
        <f t="shared" si="5"/>
        <v>22779</v>
      </c>
      <c r="O19" s="28">
        <f t="shared" si="5"/>
        <v>22779</v>
      </c>
      <c r="P19" s="28">
        <f t="shared" si="5"/>
        <v>279781</v>
      </c>
      <c r="Q19" s="8">
        <f>P19-P15-P16-P17-P18</f>
        <v>0</v>
      </c>
      <c r="R19" s="43">
        <f>SUM(P13+P19)</f>
        <v>312637</v>
      </c>
    </row>
    <row r="20" spans="1:18" x14ac:dyDescent="0.3">
      <c r="A20" s="195" t="s">
        <v>11</v>
      </c>
      <c r="B20" s="195"/>
    </row>
    <row r="21" spans="1:18" x14ac:dyDescent="0.3">
      <c r="A21" s="1"/>
      <c r="B21" s="2" t="s">
        <v>12</v>
      </c>
      <c r="P21" s="43">
        <f t="shared" ref="P21:P26" si="6">SUM(D21:O21)</f>
        <v>0</v>
      </c>
    </row>
    <row r="22" spans="1:18" x14ac:dyDescent="0.3">
      <c r="A22" s="1"/>
      <c r="B22" s="2" t="s">
        <v>96</v>
      </c>
      <c r="P22" s="43">
        <f t="shared" si="6"/>
        <v>0</v>
      </c>
    </row>
    <row r="23" spans="1:18" x14ac:dyDescent="0.3">
      <c r="A23" s="1"/>
      <c r="B23" s="2" t="s">
        <v>97</v>
      </c>
      <c r="P23" s="43">
        <f t="shared" si="6"/>
        <v>0</v>
      </c>
    </row>
    <row r="24" spans="1:18" x14ac:dyDescent="0.3">
      <c r="A24" s="1"/>
      <c r="B24" s="2" t="s">
        <v>13</v>
      </c>
      <c r="P24" s="43">
        <f t="shared" si="6"/>
        <v>0</v>
      </c>
    </row>
    <row r="25" spans="1:18" x14ac:dyDescent="0.3">
      <c r="A25" s="1"/>
      <c r="B25" s="2" t="s">
        <v>14</v>
      </c>
      <c r="P25" s="43">
        <f t="shared" si="6"/>
        <v>0</v>
      </c>
    </row>
    <row r="26" spans="1:18" x14ac:dyDescent="0.3">
      <c r="A26" s="1"/>
      <c r="B26" s="1"/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f t="shared" si="6"/>
        <v>0</v>
      </c>
    </row>
    <row r="27" spans="1:18" x14ac:dyDescent="0.3">
      <c r="A27" s="195" t="s">
        <v>15</v>
      </c>
      <c r="B27" s="195"/>
      <c r="D27" s="28">
        <f t="shared" ref="D27:I27" si="7">SUM(D21:D26)</f>
        <v>0</v>
      </c>
      <c r="E27" s="28">
        <f t="shared" si="7"/>
        <v>0</v>
      </c>
      <c r="F27" s="28">
        <f t="shared" si="7"/>
        <v>0</v>
      </c>
      <c r="G27" s="28">
        <f t="shared" si="7"/>
        <v>0</v>
      </c>
      <c r="H27" s="28">
        <f t="shared" si="7"/>
        <v>0</v>
      </c>
      <c r="I27" s="28">
        <f t="shared" si="7"/>
        <v>0</v>
      </c>
      <c r="J27" s="28">
        <f t="shared" ref="J27:P27" si="8">SUM(J21:J26)</f>
        <v>0</v>
      </c>
      <c r="K27" s="28">
        <f t="shared" si="8"/>
        <v>0</v>
      </c>
      <c r="L27" s="28">
        <f t="shared" si="8"/>
        <v>0</v>
      </c>
      <c r="M27" s="28">
        <f t="shared" si="8"/>
        <v>0</v>
      </c>
      <c r="N27" s="28">
        <f t="shared" si="8"/>
        <v>0</v>
      </c>
      <c r="O27" s="28">
        <f t="shared" si="8"/>
        <v>0</v>
      </c>
      <c r="P27" s="28">
        <f t="shared" si="8"/>
        <v>0</v>
      </c>
      <c r="Q27" s="8">
        <f>SUM(P21:P26)-P27</f>
        <v>0</v>
      </c>
    </row>
    <row r="28" spans="1:18" x14ac:dyDescent="0.3">
      <c r="A28" s="195" t="s">
        <v>16</v>
      </c>
      <c r="B28" s="195"/>
    </row>
    <row r="29" spans="1:18" x14ac:dyDescent="0.3">
      <c r="A29" s="2" t="s">
        <v>17</v>
      </c>
      <c r="B29" s="2" t="s">
        <v>18</v>
      </c>
      <c r="P29" s="43">
        <f>SUM(D29:O29)</f>
        <v>0</v>
      </c>
    </row>
    <row r="30" spans="1:18" x14ac:dyDescent="0.3">
      <c r="A30" s="2" t="s">
        <v>17</v>
      </c>
      <c r="B30" s="2" t="s">
        <v>19</v>
      </c>
      <c r="P30" s="43">
        <f>SUM(D30:O30)</f>
        <v>0</v>
      </c>
    </row>
    <row r="31" spans="1:18" x14ac:dyDescent="0.3">
      <c r="A31" s="2" t="s">
        <v>17</v>
      </c>
      <c r="B31" s="2" t="s">
        <v>20</v>
      </c>
      <c r="P31" s="43">
        <f>SUM(D31:O31)</f>
        <v>0</v>
      </c>
    </row>
    <row r="32" spans="1:18" x14ac:dyDescent="0.3">
      <c r="A32" s="2" t="s">
        <v>17</v>
      </c>
      <c r="B32" s="2" t="s">
        <v>21</v>
      </c>
      <c r="P32" s="43">
        <f>SUM(D32:O32)</f>
        <v>0</v>
      </c>
    </row>
    <row r="33" spans="1:17" x14ac:dyDescent="0.3">
      <c r="A33" s="1"/>
      <c r="B33" s="1"/>
      <c r="D33" s="30">
        <f t="shared" ref="D33:I33" si="9">D13+D19+D27+D29+D30+D31+D32</f>
        <v>28733.5</v>
      </c>
      <c r="E33" s="30">
        <f t="shared" si="9"/>
        <v>25517</v>
      </c>
      <c r="F33" s="30">
        <f t="shared" si="9"/>
        <v>25517</v>
      </c>
      <c r="G33" s="30">
        <f t="shared" si="9"/>
        <v>25517</v>
      </c>
      <c r="H33" s="30">
        <f t="shared" si="9"/>
        <v>25517</v>
      </c>
      <c r="I33" s="30">
        <f t="shared" si="9"/>
        <v>25517</v>
      </c>
      <c r="J33" s="30">
        <f t="shared" ref="J33:P33" si="10">J13+J19+J27+J29+J30+J31+J32</f>
        <v>28733.5</v>
      </c>
      <c r="K33" s="30">
        <f t="shared" si="10"/>
        <v>25517</v>
      </c>
      <c r="L33" s="30">
        <f t="shared" si="10"/>
        <v>25517</v>
      </c>
      <c r="M33" s="30">
        <f t="shared" si="10"/>
        <v>25517</v>
      </c>
      <c r="N33" s="30">
        <f t="shared" si="10"/>
        <v>25517</v>
      </c>
      <c r="O33" s="30">
        <f t="shared" si="10"/>
        <v>25517</v>
      </c>
      <c r="P33" s="30">
        <f t="shared" si="10"/>
        <v>312637</v>
      </c>
      <c r="Q33" s="8">
        <f>SUM(P29:P32)*P33</f>
        <v>0</v>
      </c>
    </row>
    <row r="34" spans="1:17" x14ac:dyDescent="0.3">
      <c r="A34" s="1"/>
      <c r="B34" s="1"/>
    </row>
    <row r="35" spans="1:17" x14ac:dyDescent="0.3">
      <c r="A35" s="195" t="s">
        <v>22</v>
      </c>
      <c r="B35" s="195"/>
    </row>
    <row r="36" spans="1:17" x14ac:dyDescent="0.3">
      <c r="A36" s="1"/>
      <c r="B36" s="2" t="s">
        <v>23</v>
      </c>
      <c r="D36" s="43">
        <f>Sheet22!I109</f>
        <v>6943.6704</v>
      </c>
      <c r="E36" s="43">
        <f>Sheet22!J109</f>
        <v>6943.6704</v>
      </c>
      <c r="F36" s="43">
        <f>Sheet22!K109</f>
        <v>10415.5056</v>
      </c>
      <c r="G36" s="43">
        <f>Sheet22!L109</f>
        <v>6943.6704</v>
      </c>
      <c r="H36" s="43">
        <f>Sheet22!M109</f>
        <v>6943.6704</v>
      </c>
      <c r="I36" s="43">
        <f>Sheet22!N109</f>
        <v>6943.6704</v>
      </c>
      <c r="J36" s="43">
        <f>Sheet22!O109</f>
        <v>6943.6704</v>
      </c>
      <c r="K36" s="43">
        <f>Sheet22!P109</f>
        <v>10415.5056</v>
      </c>
      <c r="L36" s="43">
        <f>Sheet22!Q109</f>
        <v>6943.6704</v>
      </c>
      <c r="M36" s="43">
        <f>Sheet22!R109</f>
        <v>6943.6704</v>
      </c>
      <c r="N36" s="43">
        <f>Sheet22!S109</f>
        <v>6943.6704</v>
      </c>
      <c r="O36" s="43">
        <f>Sheet22!T109</f>
        <v>6943.6704</v>
      </c>
      <c r="P36" s="43">
        <f>SUM(D36:O36)</f>
        <v>90267.715200000021</v>
      </c>
    </row>
    <row r="37" spans="1:17" x14ac:dyDescent="0.3">
      <c r="A37" s="1"/>
      <c r="B37" s="2" t="s">
        <v>24</v>
      </c>
      <c r="D37" s="43">
        <f>D36*0.0735</f>
        <v>510.35977439999999</v>
      </c>
      <c r="E37" s="43">
        <f t="shared" ref="E37:O37" si="11">E36*0.0735</f>
        <v>510.35977439999999</v>
      </c>
      <c r="F37" s="43">
        <f t="shared" si="11"/>
        <v>765.53966159999993</v>
      </c>
      <c r="G37" s="43">
        <f t="shared" si="11"/>
        <v>510.35977439999999</v>
      </c>
      <c r="H37" s="43">
        <f t="shared" si="11"/>
        <v>510.35977439999999</v>
      </c>
      <c r="I37" s="43">
        <f t="shared" si="11"/>
        <v>510.35977439999999</v>
      </c>
      <c r="J37" s="43">
        <f t="shared" si="11"/>
        <v>510.35977439999999</v>
      </c>
      <c r="K37" s="43">
        <f t="shared" si="11"/>
        <v>765.53966159999993</v>
      </c>
      <c r="L37" s="43">
        <f t="shared" si="11"/>
        <v>510.35977439999999</v>
      </c>
      <c r="M37" s="43">
        <f t="shared" si="11"/>
        <v>510.35977439999999</v>
      </c>
      <c r="N37" s="43">
        <f t="shared" si="11"/>
        <v>510.35977439999999</v>
      </c>
      <c r="O37" s="43">
        <f t="shared" si="11"/>
        <v>510.35977439999999</v>
      </c>
      <c r="P37" s="43">
        <f t="shared" ref="P37:P43" si="12">SUM(D37:O37)</f>
        <v>6634.6770671999993</v>
      </c>
    </row>
    <row r="38" spans="1:17" x14ac:dyDescent="0.3">
      <c r="A38" s="1"/>
      <c r="B38" s="2" t="s">
        <v>25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f t="shared" si="12"/>
        <v>0</v>
      </c>
    </row>
    <row r="39" spans="1:17" x14ac:dyDescent="0.3">
      <c r="A39" s="1"/>
      <c r="B39" s="2" t="s">
        <v>26</v>
      </c>
      <c r="D39" s="43">
        <f>D36*0.12042</f>
        <v>836.15678956800002</v>
      </c>
      <c r="E39" s="43">
        <f>E36*0.120421</f>
        <v>836.16373323840003</v>
      </c>
      <c r="F39" s="43">
        <f t="shared" ref="F39:O39" si="13">F36*0.120421</f>
        <v>1254.2455998576002</v>
      </c>
      <c r="G39" s="43">
        <f t="shared" si="13"/>
        <v>836.16373323840003</v>
      </c>
      <c r="H39" s="43">
        <f t="shared" si="13"/>
        <v>836.16373323840003</v>
      </c>
      <c r="I39" s="43">
        <f t="shared" si="13"/>
        <v>836.16373323840003</v>
      </c>
      <c r="J39" s="43">
        <f t="shared" si="13"/>
        <v>836.16373323840003</v>
      </c>
      <c r="K39" s="43">
        <f t="shared" si="13"/>
        <v>1254.2455998576002</v>
      </c>
      <c r="L39" s="43">
        <f t="shared" si="13"/>
        <v>836.16373323840003</v>
      </c>
      <c r="M39" s="43">
        <f t="shared" si="13"/>
        <v>836.16373323840003</v>
      </c>
      <c r="N39" s="43">
        <f t="shared" si="13"/>
        <v>836.16373323840003</v>
      </c>
      <c r="O39" s="43">
        <f t="shared" si="13"/>
        <v>836.16373323840003</v>
      </c>
      <c r="P39" s="43">
        <f t="shared" si="12"/>
        <v>10870.121588428799</v>
      </c>
    </row>
    <row r="40" spans="1:17" x14ac:dyDescent="0.3">
      <c r="A40" s="1"/>
      <c r="B40" s="2" t="s">
        <v>27</v>
      </c>
      <c r="D40" s="43">
        <f>D36*0.0112</f>
        <v>77.76910848</v>
      </c>
      <c r="E40" s="43">
        <f t="shared" ref="E40:O40" si="14">E36*0.0112</f>
        <v>77.76910848</v>
      </c>
      <c r="F40" s="43">
        <f t="shared" si="14"/>
        <v>116.65366272</v>
      </c>
      <c r="G40" s="43">
        <f t="shared" si="14"/>
        <v>77.76910848</v>
      </c>
      <c r="H40" s="43">
        <f t="shared" si="14"/>
        <v>77.76910848</v>
      </c>
      <c r="I40" s="43">
        <f t="shared" si="14"/>
        <v>77.76910848</v>
      </c>
      <c r="J40" s="43">
        <f t="shared" si="14"/>
        <v>77.76910848</v>
      </c>
      <c r="K40" s="43">
        <f t="shared" si="14"/>
        <v>116.65366272</v>
      </c>
      <c r="L40" s="43">
        <f t="shared" si="14"/>
        <v>77.76910848</v>
      </c>
      <c r="M40" s="43">
        <f t="shared" si="14"/>
        <v>77.76910848</v>
      </c>
      <c r="N40" s="43">
        <f t="shared" si="14"/>
        <v>77.76910848</v>
      </c>
      <c r="O40" s="43">
        <f t="shared" si="14"/>
        <v>77.76910848</v>
      </c>
      <c r="P40" s="43">
        <f t="shared" si="12"/>
        <v>1010.9984102400001</v>
      </c>
    </row>
    <row r="41" spans="1:17" x14ac:dyDescent="0.3">
      <c r="A41" s="1"/>
      <c r="B41" s="2" t="s">
        <v>28</v>
      </c>
      <c r="D41" s="43">
        <f>D36*0.028</f>
        <v>194.4227712</v>
      </c>
      <c r="E41" s="43">
        <f t="shared" ref="E41:O41" si="15">E36*0.028</f>
        <v>194.4227712</v>
      </c>
      <c r="F41" s="43">
        <f t="shared" si="15"/>
        <v>291.63415680000003</v>
      </c>
      <c r="G41" s="43">
        <f t="shared" si="15"/>
        <v>194.4227712</v>
      </c>
      <c r="H41" s="43">
        <f t="shared" si="15"/>
        <v>194.4227712</v>
      </c>
      <c r="I41" s="43">
        <f t="shared" si="15"/>
        <v>194.4227712</v>
      </c>
      <c r="J41" s="43">
        <f t="shared" si="15"/>
        <v>194.4227712</v>
      </c>
      <c r="K41" s="43">
        <f t="shared" si="15"/>
        <v>291.63415680000003</v>
      </c>
      <c r="L41" s="43">
        <f t="shared" si="15"/>
        <v>194.4227712</v>
      </c>
      <c r="M41" s="43">
        <f t="shared" si="15"/>
        <v>194.4227712</v>
      </c>
      <c r="N41" s="43">
        <f t="shared" si="15"/>
        <v>194.4227712</v>
      </c>
      <c r="O41" s="43">
        <f t="shared" si="15"/>
        <v>194.4227712</v>
      </c>
      <c r="P41" s="43">
        <f t="shared" si="12"/>
        <v>2527.4960256000004</v>
      </c>
    </row>
    <row r="42" spans="1:17" x14ac:dyDescent="0.3">
      <c r="A42" s="1"/>
      <c r="B42" s="2" t="s">
        <v>29</v>
      </c>
      <c r="D42" s="43">
        <f>D36*0.01373</f>
        <v>95.336594591999997</v>
      </c>
      <c r="E42" s="43">
        <f t="shared" ref="E42:O42" si="16">E36*0.01373</f>
        <v>95.336594591999997</v>
      </c>
      <c r="F42" s="43">
        <f t="shared" si="16"/>
        <v>143.004891888</v>
      </c>
      <c r="G42" s="43">
        <f t="shared" si="16"/>
        <v>95.336594591999997</v>
      </c>
      <c r="H42" s="43">
        <f t="shared" si="16"/>
        <v>95.336594591999997</v>
      </c>
      <c r="I42" s="43">
        <f t="shared" si="16"/>
        <v>95.336594591999997</v>
      </c>
      <c r="J42" s="43">
        <f t="shared" si="16"/>
        <v>95.336594591999997</v>
      </c>
      <c r="K42" s="43">
        <f t="shared" si="16"/>
        <v>143.004891888</v>
      </c>
      <c r="L42" s="43">
        <f t="shared" si="16"/>
        <v>95.336594591999997</v>
      </c>
      <c r="M42" s="43">
        <f t="shared" si="16"/>
        <v>95.336594591999997</v>
      </c>
      <c r="N42" s="43">
        <f t="shared" si="16"/>
        <v>95.336594591999997</v>
      </c>
      <c r="O42" s="43">
        <f t="shared" si="16"/>
        <v>95.336594591999997</v>
      </c>
      <c r="P42" s="43">
        <f t="shared" si="12"/>
        <v>1239.375729696</v>
      </c>
    </row>
    <row r="43" spans="1:17" x14ac:dyDescent="0.3">
      <c r="A43" s="1"/>
      <c r="B43" s="2" t="s">
        <v>30</v>
      </c>
      <c r="P43" s="43">
        <f t="shared" si="12"/>
        <v>0</v>
      </c>
    </row>
    <row r="44" spans="1:17" x14ac:dyDescent="0.3">
      <c r="A44" s="195" t="s">
        <v>31</v>
      </c>
      <c r="B44" s="195"/>
      <c r="D44" s="28">
        <f t="shared" ref="D44:I44" si="17">SUM(D36:D43)</f>
        <v>8657.7154382400004</v>
      </c>
      <c r="E44" s="28">
        <f t="shared" si="17"/>
        <v>8657.7223819104001</v>
      </c>
      <c r="F44" s="28">
        <f t="shared" si="17"/>
        <v>12986.583572865602</v>
      </c>
      <c r="G44" s="28">
        <f t="shared" si="17"/>
        <v>8657.7223819104001</v>
      </c>
      <c r="H44" s="28">
        <f t="shared" si="17"/>
        <v>8657.7223819104001</v>
      </c>
      <c r="I44" s="28">
        <f t="shared" si="17"/>
        <v>8657.7223819104001</v>
      </c>
      <c r="J44" s="28">
        <f t="shared" ref="J44:P44" si="18">SUM(J36:J43)</f>
        <v>8657.7223819104001</v>
      </c>
      <c r="K44" s="28">
        <f t="shared" si="18"/>
        <v>12986.583572865602</v>
      </c>
      <c r="L44" s="28">
        <f t="shared" si="18"/>
        <v>8657.7223819104001</v>
      </c>
      <c r="M44" s="28">
        <f t="shared" si="18"/>
        <v>8657.7223819104001</v>
      </c>
      <c r="N44" s="28">
        <f t="shared" si="18"/>
        <v>8657.7223819104001</v>
      </c>
      <c r="O44" s="28">
        <f t="shared" si="18"/>
        <v>8657.7223819104001</v>
      </c>
      <c r="P44" s="28">
        <f t="shared" si="18"/>
        <v>112550.38402116482</v>
      </c>
      <c r="Q44" s="29">
        <f>SUM(P36:P43)</f>
        <v>112550.38402116482</v>
      </c>
    </row>
    <row r="45" spans="1:17" x14ac:dyDescent="0.3">
      <c r="A45" s="195" t="s">
        <v>32</v>
      </c>
      <c r="B45" s="195"/>
    </row>
    <row r="46" spans="1:17" x14ac:dyDescent="0.3">
      <c r="A46" s="1"/>
      <c r="B46" s="2" t="s">
        <v>33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</row>
    <row r="47" spans="1:17" x14ac:dyDescent="0.3">
      <c r="A47" s="1"/>
      <c r="B47" s="2" t="s">
        <v>34</v>
      </c>
      <c r="P47" s="43">
        <f t="shared" ref="P47:P53" si="19">SUM(D47:O47)</f>
        <v>0</v>
      </c>
    </row>
    <row r="48" spans="1:17" x14ac:dyDescent="0.3">
      <c r="A48" s="1"/>
      <c r="B48" s="2" t="s">
        <v>35</v>
      </c>
      <c r="P48" s="43">
        <f t="shared" si="19"/>
        <v>0</v>
      </c>
    </row>
    <row r="49" spans="1:17" x14ac:dyDescent="0.3">
      <c r="A49" s="1"/>
      <c r="B49" s="2" t="s">
        <v>36</v>
      </c>
      <c r="D49" s="43">
        <v>10</v>
      </c>
      <c r="E49" s="43">
        <v>10</v>
      </c>
      <c r="F49" s="43">
        <v>10</v>
      </c>
      <c r="G49" s="43">
        <v>10</v>
      </c>
      <c r="H49" s="43">
        <v>10</v>
      </c>
      <c r="I49" s="43">
        <v>10</v>
      </c>
      <c r="J49" s="43">
        <v>10</v>
      </c>
      <c r="K49" s="43">
        <v>10</v>
      </c>
      <c r="L49" s="43">
        <v>10</v>
      </c>
      <c r="M49" s="43">
        <v>10</v>
      </c>
      <c r="N49" s="43">
        <v>10</v>
      </c>
      <c r="O49" s="43">
        <v>10</v>
      </c>
      <c r="P49" s="43">
        <f t="shared" si="19"/>
        <v>120</v>
      </c>
    </row>
    <row r="50" spans="1:17" x14ac:dyDescent="0.3">
      <c r="A50" s="1"/>
      <c r="B50" s="2" t="s">
        <v>37</v>
      </c>
      <c r="D50" s="43">
        <v>10</v>
      </c>
      <c r="E50" s="43">
        <v>10</v>
      </c>
      <c r="F50" s="43">
        <v>10</v>
      </c>
      <c r="G50" s="43">
        <v>10</v>
      </c>
      <c r="H50" s="43">
        <v>10</v>
      </c>
      <c r="I50" s="43">
        <v>10</v>
      </c>
      <c r="J50" s="43">
        <v>10</v>
      </c>
      <c r="K50" s="43">
        <v>10</v>
      </c>
      <c r="L50" s="43">
        <v>10</v>
      </c>
      <c r="M50" s="43">
        <v>10</v>
      </c>
      <c r="N50" s="43">
        <v>10</v>
      </c>
      <c r="O50" s="43">
        <v>10</v>
      </c>
      <c r="P50" s="43">
        <f t="shared" si="19"/>
        <v>120</v>
      </c>
    </row>
    <row r="51" spans="1:17" s="42" customFormat="1" x14ac:dyDescent="0.3">
      <c r="A51" s="1"/>
      <c r="B51" s="93" t="s">
        <v>194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>
        <f t="shared" si="19"/>
        <v>0</v>
      </c>
    </row>
    <row r="52" spans="1:17" x14ac:dyDescent="0.3">
      <c r="A52" s="1"/>
      <c r="B52" s="2" t="s">
        <v>38</v>
      </c>
      <c r="P52" s="43">
        <v>0</v>
      </c>
    </row>
    <row r="53" spans="1:17" x14ac:dyDescent="0.3">
      <c r="A53" s="1"/>
      <c r="B53" s="2" t="s">
        <v>39</v>
      </c>
      <c r="D53" s="43">
        <v>50</v>
      </c>
      <c r="E53" s="43">
        <v>50</v>
      </c>
      <c r="F53" s="43">
        <v>50</v>
      </c>
      <c r="G53" s="43">
        <v>50</v>
      </c>
      <c r="H53" s="43">
        <v>50</v>
      </c>
      <c r="I53" s="43">
        <v>50</v>
      </c>
      <c r="J53" s="43">
        <v>50</v>
      </c>
      <c r="K53" s="43">
        <v>50</v>
      </c>
      <c r="L53" s="43">
        <v>50</v>
      </c>
      <c r="M53" s="43">
        <v>50</v>
      </c>
      <c r="N53" s="43">
        <v>50</v>
      </c>
      <c r="O53" s="43">
        <v>50</v>
      </c>
      <c r="P53" s="43">
        <f t="shared" si="19"/>
        <v>600</v>
      </c>
    </row>
    <row r="54" spans="1:17" x14ac:dyDescent="0.3">
      <c r="A54" s="195" t="s">
        <v>40</v>
      </c>
      <c r="B54" s="195"/>
      <c r="D54" s="28">
        <f t="shared" ref="D54:I54" si="20">SUM(D46:D53)</f>
        <v>70</v>
      </c>
      <c r="E54" s="28">
        <f t="shared" si="20"/>
        <v>70</v>
      </c>
      <c r="F54" s="28">
        <f t="shared" si="20"/>
        <v>70</v>
      </c>
      <c r="G54" s="28">
        <f t="shared" si="20"/>
        <v>70</v>
      </c>
      <c r="H54" s="28">
        <f t="shared" si="20"/>
        <v>70</v>
      </c>
      <c r="I54" s="28">
        <f t="shared" si="20"/>
        <v>70</v>
      </c>
      <c r="J54" s="28">
        <f t="shared" ref="J54:P54" si="21">SUM(J46:J53)</f>
        <v>70</v>
      </c>
      <c r="K54" s="28">
        <f t="shared" si="21"/>
        <v>70</v>
      </c>
      <c r="L54" s="28">
        <f t="shared" si="21"/>
        <v>70</v>
      </c>
      <c r="M54" s="28">
        <f t="shared" si="21"/>
        <v>70</v>
      </c>
      <c r="N54" s="28">
        <f t="shared" si="21"/>
        <v>70</v>
      </c>
      <c r="O54" s="28">
        <f t="shared" si="21"/>
        <v>70</v>
      </c>
      <c r="P54" s="28">
        <f t="shared" si="21"/>
        <v>840</v>
      </c>
      <c r="Q54" s="8">
        <f>SUM(P53)-P54</f>
        <v>-240</v>
      </c>
    </row>
    <row r="55" spans="1:17" x14ac:dyDescent="0.3">
      <c r="A55" s="195" t="s">
        <v>41</v>
      </c>
      <c r="B55" s="195"/>
    </row>
    <row r="56" spans="1:17" x14ac:dyDescent="0.3">
      <c r="A56" s="1"/>
      <c r="B56" s="2" t="s">
        <v>42</v>
      </c>
      <c r="P56" s="43">
        <f t="shared" ref="P56:P84" si="22">SUM(D56:O56)</f>
        <v>0</v>
      </c>
    </row>
    <row r="57" spans="1:17" x14ac:dyDescent="0.3">
      <c r="A57" s="1"/>
      <c r="B57" s="2" t="s">
        <v>43</v>
      </c>
      <c r="P57" s="43">
        <f t="shared" si="22"/>
        <v>0</v>
      </c>
    </row>
    <row r="58" spans="1:17" x14ac:dyDescent="0.3">
      <c r="A58" s="1"/>
      <c r="B58" s="2" t="s">
        <v>44</v>
      </c>
      <c r="P58" s="43">
        <f t="shared" si="22"/>
        <v>0</v>
      </c>
    </row>
    <row r="59" spans="1:17" x14ac:dyDescent="0.3">
      <c r="A59" s="1"/>
      <c r="B59" s="2" t="s">
        <v>45</v>
      </c>
      <c r="P59" s="43">
        <f t="shared" si="22"/>
        <v>0</v>
      </c>
    </row>
    <row r="60" spans="1:17" x14ac:dyDescent="0.3">
      <c r="A60" s="1"/>
      <c r="B60" s="2" t="s">
        <v>46</v>
      </c>
      <c r="P60" s="43">
        <f t="shared" si="22"/>
        <v>0</v>
      </c>
    </row>
    <row r="61" spans="1:17" x14ac:dyDescent="0.3">
      <c r="A61" s="1"/>
      <c r="B61" s="2" t="s">
        <v>47</v>
      </c>
      <c r="P61" s="43">
        <f t="shared" si="22"/>
        <v>0</v>
      </c>
    </row>
    <row r="62" spans="1:17" x14ac:dyDescent="0.3">
      <c r="A62" s="1"/>
      <c r="B62" s="2" t="s">
        <v>48</v>
      </c>
      <c r="P62" s="43">
        <f t="shared" si="22"/>
        <v>0</v>
      </c>
    </row>
    <row r="63" spans="1:17" x14ac:dyDescent="0.3">
      <c r="A63" s="1"/>
      <c r="B63" s="2" t="s">
        <v>49</v>
      </c>
      <c r="P63" s="43">
        <f t="shared" si="22"/>
        <v>0</v>
      </c>
    </row>
    <row r="64" spans="1:17" x14ac:dyDescent="0.3">
      <c r="A64" s="1"/>
      <c r="B64" s="2" t="s">
        <v>50</v>
      </c>
      <c r="P64" s="43">
        <f t="shared" si="22"/>
        <v>0</v>
      </c>
    </row>
    <row r="65" spans="1:17" x14ac:dyDescent="0.3">
      <c r="A65" s="1"/>
      <c r="B65" s="2" t="s">
        <v>51</v>
      </c>
      <c r="P65" s="43">
        <f t="shared" si="22"/>
        <v>0</v>
      </c>
    </row>
    <row r="66" spans="1:17" x14ac:dyDescent="0.3">
      <c r="A66" s="1"/>
      <c r="B66" s="2" t="s">
        <v>52</v>
      </c>
      <c r="P66" s="117">
        <f t="shared" si="22"/>
        <v>0</v>
      </c>
      <c r="Q66" s="118"/>
    </row>
    <row r="67" spans="1:17" x14ac:dyDescent="0.3">
      <c r="A67" s="1"/>
      <c r="B67" s="2" t="s">
        <v>53</v>
      </c>
      <c r="D67" s="43">
        <v>50</v>
      </c>
      <c r="E67" s="43">
        <v>50</v>
      </c>
      <c r="F67" s="43">
        <v>50</v>
      </c>
      <c r="G67" s="43">
        <v>50</v>
      </c>
      <c r="H67" s="43">
        <v>50</v>
      </c>
      <c r="I67" s="43">
        <v>50</v>
      </c>
      <c r="J67" s="43">
        <v>50</v>
      </c>
      <c r="K67" s="43">
        <v>50</v>
      </c>
      <c r="L67" s="43">
        <v>50</v>
      </c>
      <c r="M67" s="43">
        <v>50</v>
      </c>
      <c r="N67" s="43">
        <v>50</v>
      </c>
      <c r="O67" s="43">
        <v>50</v>
      </c>
      <c r="P67" s="43">
        <f t="shared" si="22"/>
        <v>600</v>
      </c>
    </row>
    <row r="68" spans="1:17" x14ac:dyDescent="0.3">
      <c r="A68" s="1"/>
      <c r="B68" s="2" t="s">
        <v>54</v>
      </c>
      <c r="P68" s="43">
        <f t="shared" si="22"/>
        <v>0</v>
      </c>
    </row>
    <row r="69" spans="1:17" x14ac:dyDescent="0.3">
      <c r="A69" s="1"/>
      <c r="B69" s="2" t="s">
        <v>55</v>
      </c>
      <c r="P69" s="43">
        <f t="shared" si="22"/>
        <v>0</v>
      </c>
    </row>
    <row r="70" spans="1:17" x14ac:dyDescent="0.3">
      <c r="A70" s="1"/>
      <c r="B70" s="2" t="s">
        <v>56</v>
      </c>
      <c r="P70" s="43">
        <f t="shared" si="22"/>
        <v>0</v>
      </c>
    </row>
    <row r="71" spans="1:17" x14ac:dyDescent="0.3">
      <c r="A71" s="1"/>
      <c r="B71" s="2" t="s">
        <v>57</v>
      </c>
      <c r="D71" s="43">
        <v>90</v>
      </c>
      <c r="E71" s="43">
        <v>90</v>
      </c>
      <c r="F71" s="43">
        <v>90</v>
      </c>
      <c r="G71" s="43">
        <v>90</v>
      </c>
      <c r="H71" s="43">
        <v>90</v>
      </c>
      <c r="I71" s="43">
        <v>90</v>
      </c>
      <c r="J71" s="43">
        <v>90</v>
      </c>
      <c r="K71" s="43">
        <v>90</v>
      </c>
      <c r="L71" s="43">
        <v>90</v>
      </c>
      <c r="M71" s="43">
        <v>90</v>
      </c>
      <c r="N71" s="43">
        <v>90</v>
      </c>
      <c r="O71" s="43">
        <v>90</v>
      </c>
      <c r="P71" s="43">
        <f t="shared" si="22"/>
        <v>1080</v>
      </c>
    </row>
    <row r="72" spans="1:17" x14ac:dyDescent="0.3">
      <c r="A72" s="1"/>
      <c r="B72" s="2" t="s">
        <v>58</v>
      </c>
      <c r="P72" s="43">
        <f t="shared" si="22"/>
        <v>0</v>
      </c>
    </row>
    <row r="73" spans="1:17" x14ac:dyDescent="0.3">
      <c r="A73" s="1"/>
      <c r="B73" s="2" t="s">
        <v>59</v>
      </c>
      <c r="P73" s="43">
        <f t="shared" si="22"/>
        <v>0</v>
      </c>
    </row>
    <row r="74" spans="1:17" x14ac:dyDescent="0.3">
      <c r="A74" s="1"/>
      <c r="B74" s="2" t="s">
        <v>60</v>
      </c>
      <c r="P74" s="43">
        <f t="shared" si="22"/>
        <v>0</v>
      </c>
    </row>
    <row r="75" spans="1:17" x14ac:dyDescent="0.3">
      <c r="A75" s="1"/>
      <c r="B75" s="2" t="s">
        <v>61</v>
      </c>
      <c r="P75" s="43">
        <f t="shared" si="22"/>
        <v>0</v>
      </c>
    </row>
    <row r="76" spans="1:17" x14ac:dyDescent="0.3">
      <c r="A76" s="1"/>
      <c r="B76" s="2" t="s">
        <v>62</v>
      </c>
      <c r="P76" s="43">
        <f t="shared" si="22"/>
        <v>0</v>
      </c>
    </row>
    <row r="77" spans="1:17" x14ac:dyDescent="0.3">
      <c r="A77" s="1"/>
      <c r="B77" s="2" t="s">
        <v>63</v>
      </c>
      <c r="P77" s="43">
        <f t="shared" si="22"/>
        <v>0</v>
      </c>
    </row>
    <row r="78" spans="1:17" x14ac:dyDescent="0.3">
      <c r="A78" s="2" t="s">
        <v>17</v>
      </c>
      <c r="B78" s="2" t="s">
        <v>64</v>
      </c>
      <c r="P78" s="43">
        <f t="shared" si="22"/>
        <v>0</v>
      </c>
    </row>
    <row r="79" spans="1:17" x14ac:dyDescent="0.3">
      <c r="A79" s="1"/>
      <c r="B79" s="2" t="s">
        <v>65</v>
      </c>
      <c r="P79" s="86">
        <f t="shared" si="22"/>
        <v>0</v>
      </c>
      <c r="Q79" s="87" t="s">
        <v>189</v>
      </c>
    </row>
    <row r="80" spans="1:17" x14ac:dyDescent="0.3">
      <c r="A80" s="1"/>
      <c r="B80" s="1"/>
      <c r="P80" s="43">
        <f t="shared" si="22"/>
        <v>0</v>
      </c>
    </row>
    <row r="81" spans="1:17" x14ac:dyDescent="0.3">
      <c r="A81" s="1"/>
      <c r="B81" s="2"/>
      <c r="P81" s="43">
        <f t="shared" si="22"/>
        <v>0</v>
      </c>
    </row>
    <row r="82" spans="1:17" x14ac:dyDescent="0.3">
      <c r="A82" s="1"/>
      <c r="B82" s="2"/>
      <c r="P82" s="43">
        <f t="shared" si="22"/>
        <v>0</v>
      </c>
    </row>
    <row r="83" spans="1:17" x14ac:dyDescent="0.3">
      <c r="A83" s="1"/>
      <c r="B83" s="2"/>
      <c r="P83" s="43">
        <f t="shared" si="22"/>
        <v>0</v>
      </c>
    </row>
    <row r="84" spans="1:17" x14ac:dyDescent="0.3">
      <c r="A84" s="1"/>
      <c r="B84" s="2"/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f t="shared" si="22"/>
        <v>0</v>
      </c>
    </row>
    <row r="85" spans="1:17" x14ac:dyDescent="0.3">
      <c r="A85" s="195" t="s">
        <v>66</v>
      </c>
      <c r="B85" s="195"/>
      <c r="D85" s="28">
        <f t="shared" ref="D85:I85" si="23">SUM(D57:D84)</f>
        <v>140</v>
      </c>
      <c r="E85" s="28">
        <f t="shared" si="23"/>
        <v>140</v>
      </c>
      <c r="F85" s="28">
        <f t="shared" si="23"/>
        <v>140</v>
      </c>
      <c r="G85" s="28">
        <f t="shared" si="23"/>
        <v>140</v>
      </c>
      <c r="H85" s="28">
        <f t="shared" si="23"/>
        <v>140</v>
      </c>
      <c r="I85" s="28">
        <f t="shared" si="23"/>
        <v>140</v>
      </c>
      <c r="J85" s="28">
        <f t="shared" ref="J85:P85" si="24">SUM(J57:J84)</f>
        <v>140</v>
      </c>
      <c r="K85" s="28">
        <f t="shared" si="24"/>
        <v>140</v>
      </c>
      <c r="L85" s="28">
        <f t="shared" si="24"/>
        <v>140</v>
      </c>
      <c r="M85" s="28">
        <f t="shared" si="24"/>
        <v>140</v>
      </c>
      <c r="N85" s="28">
        <f t="shared" si="24"/>
        <v>140</v>
      </c>
      <c r="O85" s="28">
        <f t="shared" si="24"/>
        <v>140</v>
      </c>
      <c r="P85" s="28">
        <f t="shared" si="24"/>
        <v>1680</v>
      </c>
      <c r="Q85" s="8">
        <f>SUM(P56:P84)-P85</f>
        <v>0</v>
      </c>
    </row>
    <row r="86" spans="1:17" x14ac:dyDescent="0.3">
      <c r="A86" s="195" t="s">
        <v>67</v>
      </c>
      <c r="B86" s="195"/>
    </row>
    <row r="87" spans="1:17" x14ac:dyDescent="0.3">
      <c r="A87" s="1"/>
      <c r="B87" s="2" t="s">
        <v>68</v>
      </c>
      <c r="P87" s="43">
        <f t="shared" ref="P87:P105" si="25">SUM(D87:O87)</f>
        <v>0</v>
      </c>
    </row>
    <row r="88" spans="1:17" x14ac:dyDescent="0.3">
      <c r="A88" s="1"/>
      <c r="B88" s="2" t="s">
        <v>69</v>
      </c>
      <c r="P88" s="43">
        <f t="shared" si="25"/>
        <v>0</v>
      </c>
    </row>
    <row r="89" spans="1:17" x14ac:dyDescent="0.3">
      <c r="A89" s="1"/>
      <c r="B89" s="2" t="s">
        <v>70</v>
      </c>
      <c r="P89" s="43">
        <f t="shared" si="25"/>
        <v>0</v>
      </c>
    </row>
    <row r="90" spans="1:17" x14ac:dyDescent="0.3">
      <c r="A90" s="1"/>
      <c r="B90" s="2" t="s">
        <v>71</v>
      </c>
      <c r="P90" s="43">
        <f t="shared" si="25"/>
        <v>0</v>
      </c>
    </row>
    <row r="91" spans="1:17" x14ac:dyDescent="0.3">
      <c r="A91" s="1"/>
      <c r="B91" s="2" t="s">
        <v>72</v>
      </c>
      <c r="P91" s="43">
        <f t="shared" si="25"/>
        <v>0</v>
      </c>
    </row>
    <row r="92" spans="1:17" x14ac:dyDescent="0.3">
      <c r="A92" s="1"/>
      <c r="B92" s="2" t="s">
        <v>73</v>
      </c>
      <c r="P92" s="43">
        <f t="shared" si="25"/>
        <v>0</v>
      </c>
    </row>
    <row r="93" spans="1:17" x14ac:dyDescent="0.3">
      <c r="A93" s="1"/>
      <c r="B93" s="2" t="s">
        <v>74</v>
      </c>
      <c r="P93" s="43">
        <f t="shared" si="25"/>
        <v>0</v>
      </c>
    </row>
    <row r="94" spans="1:17" x14ac:dyDescent="0.3">
      <c r="A94" s="1"/>
      <c r="B94" s="2" t="s">
        <v>75</v>
      </c>
      <c r="D94" s="43">
        <v>18254</v>
      </c>
      <c r="E94" s="43">
        <v>18254</v>
      </c>
      <c r="F94" s="43">
        <v>18254</v>
      </c>
      <c r="G94" s="43">
        <v>18254</v>
      </c>
      <c r="H94" s="43">
        <v>18254</v>
      </c>
      <c r="I94" s="43">
        <v>18254</v>
      </c>
      <c r="J94" s="43">
        <v>18254</v>
      </c>
      <c r="K94" s="43">
        <v>18254</v>
      </c>
      <c r="L94" s="43">
        <v>18254</v>
      </c>
      <c r="M94" s="43">
        <v>18254</v>
      </c>
      <c r="N94" s="43">
        <v>18254</v>
      </c>
      <c r="O94" s="43">
        <v>18254</v>
      </c>
      <c r="P94" s="43">
        <f t="shared" si="25"/>
        <v>219048</v>
      </c>
    </row>
    <row r="95" spans="1:17" x14ac:dyDescent="0.3">
      <c r="A95" s="1"/>
      <c r="B95" s="2" t="s">
        <v>76</v>
      </c>
      <c r="P95" s="43">
        <f t="shared" si="25"/>
        <v>0</v>
      </c>
    </row>
    <row r="96" spans="1:17" x14ac:dyDescent="0.3">
      <c r="A96" s="1"/>
      <c r="B96" s="2" t="s">
        <v>77</v>
      </c>
      <c r="P96" s="43">
        <f t="shared" si="25"/>
        <v>0</v>
      </c>
    </row>
    <row r="97" spans="1:17" x14ac:dyDescent="0.3">
      <c r="A97" s="1"/>
      <c r="B97" s="2" t="s">
        <v>78</v>
      </c>
      <c r="P97" s="43">
        <f t="shared" si="25"/>
        <v>0</v>
      </c>
    </row>
    <row r="98" spans="1:17" x14ac:dyDescent="0.3">
      <c r="A98" s="1"/>
      <c r="B98" s="2" t="s">
        <v>79</v>
      </c>
      <c r="P98" s="43">
        <f t="shared" si="25"/>
        <v>0</v>
      </c>
    </row>
    <row r="99" spans="1:17" x14ac:dyDescent="0.3">
      <c r="A99" s="1"/>
      <c r="B99" s="2" t="s">
        <v>80</v>
      </c>
      <c r="P99" s="43">
        <f t="shared" si="25"/>
        <v>0</v>
      </c>
    </row>
    <row r="100" spans="1:17" x14ac:dyDescent="0.3">
      <c r="A100" s="1"/>
      <c r="B100" s="2" t="s">
        <v>81</v>
      </c>
      <c r="P100" s="43">
        <f t="shared" si="25"/>
        <v>0</v>
      </c>
    </row>
    <row r="101" spans="1:17" x14ac:dyDescent="0.3">
      <c r="A101" s="1"/>
      <c r="B101" s="2" t="s">
        <v>82</v>
      </c>
      <c r="P101" s="43">
        <f t="shared" si="25"/>
        <v>0</v>
      </c>
    </row>
    <row r="102" spans="1:17" x14ac:dyDescent="0.3">
      <c r="A102" s="1"/>
      <c r="B102" s="2" t="s">
        <v>83</v>
      </c>
      <c r="P102" s="43">
        <f t="shared" si="25"/>
        <v>0</v>
      </c>
    </row>
    <row r="103" spans="1:17" x14ac:dyDescent="0.3">
      <c r="A103" s="1"/>
      <c r="B103" s="1"/>
      <c r="P103" s="43">
        <f t="shared" si="25"/>
        <v>0</v>
      </c>
    </row>
    <row r="104" spans="1:17" x14ac:dyDescent="0.3">
      <c r="A104" s="1"/>
      <c r="B104" s="2"/>
      <c r="P104" s="43">
        <f t="shared" si="25"/>
        <v>0</v>
      </c>
    </row>
    <row r="105" spans="1:17" x14ac:dyDescent="0.3">
      <c r="A105" s="1"/>
      <c r="B105" s="2"/>
      <c r="P105" s="43">
        <f t="shared" si="25"/>
        <v>0</v>
      </c>
    </row>
    <row r="106" spans="1:17" x14ac:dyDescent="0.3">
      <c r="A106" s="195" t="s">
        <v>84</v>
      </c>
      <c r="B106" s="195"/>
      <c r="D106" s="30">
        <f t="shared" ref="D106:I106" si="26">SUM(D87:D105)</f>
        <v>18254</v>
      </c>
      <c r="E106" s="30">
        <f t="shared" si="26"/>
        <v>18254</v>
      </c>
      <c r="F106" s="30">
        <f t="shared" si="26"/>
        <v>18254</v>
      </c>
      <c r="G106" s="30">
        <f t="shared" si="26"/>
        <v>18254</v>
      </c>
      <c r="H106" s="30">
        <f t="shared" si="26"/>
        <v>18254</v>
      </c>
      <c r="I106" s="30">
        <f t="shared" si="26"/>
        <v>18254</v>
      </c>
      <c r="J106" s="30">
        <f t="shared" ref="J106:P106" si="27">SUM(J87:J105)</f>
        <v>18254</v>
      </c>
      <c r="K106" s="30">
        <f t="shared" si="27"/>
        <v>18254</v>
      </c>
      <c r="L106" s="30">
        <f t="shared" si="27"/>
        <v>18254</v>
      </c>
      <c r="M106" s="30">
        <f t="shared" si="27"/>
        <v>18254</v>
      </c>
      <c r="N106" s="30">
        <f t="shared" si="27"/>
        <v>18254</v>
      </c>
      <c r="O106" s="30">
        <f t="shared" si="27"/>
        <v>18254</v>
      </c>
      <c r="P106" s="30">
        <f t="shared" si="27"/>
        <v>219048</v>
      </c>
      <c r="Q106" s="8">
        <f>SUM(P87:P105)-P106</f>
        <v>0</v>
      </c>
    </row>
    <row r="107" spans="1:17" x14ac:dyDescent="0.3">
      <c r="A107" s="1"/>
      <c r="B107" s="2" t="s">
        <v>85</v>
      </c>
      <c r="D107" s="30">
        <f t="shared" ref="D107:I107" si="28">D106+D85+D54+D44</f>
        <v>27121.71543824</v>
      </c>
      <c r="E107" s="30">
        <f t="shared" si="28"/>
        <v>27121.7223819104</v>
      </c>
      <c r="F107" s="30">
        <f t="shared" si="28"/>
        <v>31450.583572865602</v>
      </c>
      <c r="G107" s="30">
        <f t="shared" si="28"/>
        <v>27121.7223819104</v>
      </c>
      <c r="H107" s="30">
        <f t="shared" si="28"/>
        <v>27121.7223819104</v>
      </c>
      <c r="I107" s="30">
        <f t="shared" si="28"/>
        <v>27121.7223819104</v>
      </c>
      <c r="J107" s="30">
        <f t="shared" ref="J107:P107" si="29">J106+J85+J54+J44</f>
        <v>27121.7223819104</v>
      </c>
      <c r="K107" s="30">
        <f t="shared" si="29"/>
        <v>31450.583572865602</v>
      </c>
      <c r="L107" s="30">
        <f t="shared" si="29"/>
        <v>27121.7223819104</v>
      </c>
      <c r="M107" s="30">
        <f t="shared" si="29"/>
        <v>27121.7223819104</v>
      </c>
      <c r="N107" s="30">
        <f t="shared" si="29"/>
        <v>27121.7223819104</v>
      </c>
      <c r="O107" s="30">
        <f t="shared" si="29"/>
        <v>27121.7223819104</v>
      </c>
      <c r="P107" s="30">
        <f t="shared" si="29"/>
        <v>334118.38402116485</v>
      </c>
    </row>
    <row r="108" spans="1:17" x14ac:dyDescent="0.3">
      <c r="A108" s="1"/>
      <c r="B108" s="2" t="s">
        <v>86</v>
      </c>
    </row>
    <row r="110" spans="1:17" ht="15" thickBot="1" x14ac:dyDescent="0.35">
      <c r="B110" t="s">
        <v>112</v>
      </c>
      <c r="D110" s="31">
        <f t="shared" ref="D110:I110" si="30">D33-D107-D108</f>
        <v>1611.7845617599996</v>
      </c>
      <c r="E110" s="31">
        <f t="shared" si="30"/>
        <v>-1604.7223819104001</v>
      </c>
      <c r="F110" s="31">
        <f t="shared" si="30"/>
        <v>-5933.583572865602</v>
      </c>
      <c r="G110" s="31">
        <f t="shared" si="30"/>
        <v>-1604.7223819104001</v>
      </c>
      <c r="H110" s="31">
        <f t="shared" si="30"/>
        <v>-1604.7223819104001</v>
      </c>
      <c r="I110" s="31">
        <f t="shared" si="30"/>
        <v>-1604.7223819104001</v>
      </c>
      <c r="J110" s="31">
        <f t="shared" ref="J110:P110" si="31">J33-J107-J108</f>
        <v>1611.7776180895999</v>
      </c>
      <c r="K110" s="31">
        <f t="shared" si="31"/>
        <v>-5933.583572865602</v>
      </c>
      <c r="L110" s="31">
        <f t="shared" si="31"/>
        <v>-1604.7223819104001</v>
      </c>
      <c r="M110" s="31">
        <f t="shared" si="31"/>
        <v>-1604.7223819104001</v>
      </c>
      <c r="N110" s="31">
        <f t="shared" si="31"/>
        <v>-1604.7223819104001</v>
      </c>
      <c r="O110" s="31">
        <f t="shared" si="31"/>
        <v>-1604.7223819104001</v>
      </c>
      <c r="P110" s="31">
        <f t="shared" si="31"/>
        <v>-21481.384021164849</v>
      </c>
    </row>
    <row r="111" spans="1:17" ht="15" thickTop="1" x14ac:dyDescent="0.3"/>
  </sheetData>
  <mergeCells count="16">
    <mergeCell ref="A20:B20"/>
    <mergeCell ref="A5:B5"/>
    <mergeCell ref="A6:B6"/>
    <mergeCell ref="A13:B13"/>
    <mergeCell ref="A14:B14"/>
    <mergeCell ref="A19:B19"/>
    <mergeCell ref="A55:B55"/>
    <mergeCell ref="A85:B85"/>
    <mergeCell ref="A86:B86"/>
    <mergeCell ref="A106:B106"/>
    <mergeCell ref="A27:B27"/>
    <mergeCell ref="A28:B28"/>
    <mergeCell ref="A35:B35"/>
    <mergeCell ref="A44:B44"/>
    <mergeCell ref="A45:B45"/>
    <mergeCell ref="A54:B5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Q110"/>
  <sheetViews>
    <sheetView workbookViewId="0">
      <pane xSplit="3" ySplit="3" topLeftCell="D22" activePane="bottomRight" state="frozen"/>
      <selection pane="topRight" activeCell="D1" sqref="D1"/>
      <selection pane="bottomLeft" activeCell="A4" sqref="A4"/>
      <selection pane="bottomRight" activeCell="D35" sqref="D35:O35"/>
    </sheetView>
  </sheetViews>
  <sheetFormatPr defaultRowHeight="14.4" x14ac:dyDescent="0.3"/>
  <cols>
    <col min="2" max="2" width="30.5546875" customWidth="1"/>
    <col min="3" max="3" width="2.5546875" customWidth="1"/>
    <col min="4" max="15" width="9.44140625" bestFit="1" customWidth="1"/>
    <col min="16" max="16" width="9.88671875" bestFit="1" customWidth="1"/>
  </cols>
  <sheetData>
    <row r="3" spans="1:17" x14ac:dyDescent="0.3">
      <c r="D3" s="3" t="s">
        <v>100</v>
      </c>
      <c r="E3" s="3" t="s">
        <v>101</v>
      </c>
      <c r="F3" s="3" t="s">
        <v>102</v>
      </c>
      <c r="G3" s="3" t="s">
        <v>103</v>
      </c>
      <c r="H3" s="3" t="s">
        <v>104</v>
      </c>
      <c r="I3" s="3" t="s">
        <v>105</v>
      </c>
      <c r="J3" s="3" t="s">
        <v>106</v>
      </c>
      <c r="K3" s="3" t="s">
        <v>107</v>
      </c>
      <c r="L3" s="3" t="s">
        <v>108</v>
      </c>
      <c r="M3" s="3" t="s">
        <v>109</v>
      </c>
      <c r="N3" s="3" t="s">
        <v>110</v>
      </c>
      <c r="O3" s="3" t="s">
        <v>111</v>
      </c>
      <c r="P3" s="6" t="s">
        <v>113</v>
      </c>
    </row>
    <row r="4" spans="1:17" x14ac:dyDescent="0.3">
      <c r="A4" s="195" t="s">
        <v>99</v>
      </c>
      <c r="B4" s="195"/>
    </row>
    <row r="5" spans="1:17" x14ac:dyDescent="0.3">
      <c r="A5" s="195" t="s">
        <v>1</v>
      </c>
      <c r="B5" s="195"/>
    </row>
    <row r="6" spans="1:17" x14ac:dyDescent="0.3">
      <c r="A6" s="1"/>
      <c r="B6" s="94" t="s">
        <v>2</v>
      </c>
      <c r="D6" s="42"/>
      <c r="E6" s="42"/>
      <c r="F6" s="42"/>
      <c r="G6" s="42"/>
      <c r="H6" s="42"/>
      <c r="I6" s="42"/>
      <c r="P6">
        <f t="shared" ref="P6:P11" si="0">SUM(D6:O6)</f>
        <v>0</v>
      </c>
    </row>
    <row r="7" spans="1:17" x14ac:dyDescent="0.3">
      <c r="A7" s="1"/>
      <c r="B7" s="94" t="s">
        <v>204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>
        <f t="shared" si="0"/>
        <v>0</v>
      </c>
    </row>
    <row r="8" spans="1:17" s="42" customFormat="1" x14ac:dyDescent="0.3">
      <c r="A8" s="1"/>
      <c r="B8" s="94" t="s">
        <v>205</v>
      </c>
      <c r="P8" s="42">
        <f t="shared" si="0"/>
        <v>0</v>
      </c>
    </row>
    <row r="9" spans="1:17" x14ac:dyDescent="0.3">
      <c r="A9" s="1"/>
      <c r="B9" s="94" t="s">
        <v>4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2">
        <f t="shared" si="0"/>
        <v>0</v>
      </c>
    </row>
    <row r="10" spans="1:17" s="42" customFormat="1" x14ac:dyDescent="0.3">
      <c r="A10" s="1"/>
      <c r="B10" s="94" t="s">
        <v>206</v>
      </c>
      <c r="D10" s="43">
        <v>615</v>
      </c>
      <c r="E10" s="43">
        <v>615</v>
      </c>
      <c r="F10" s="43">
        <v>615</v>
      </c>
      <c r="G10" s="43">
        <v>615</v>
      </c>
      <c r="H10" s="43">
        <v>615</v>
      </c>
      <c r="I10" s="43">
        <v>615</v>
      </c>
      <c r="J10" s="43">
        <v>615</v>
      </c>
      <c r="K10" s="43">
        <v>615</v>
      </c>
      <c r="L10" s="43">
        <v>615</v>
      </c>
      <c r="M10" s="43">
        <v>615</v>
      </c>
      <c r="N10" s="43">
        <v>615</v>
      </c>
      <c r="O10" s="43">
        <v>615</v>
      </c>
      <c r="P10" s="42">
        <f t="shared" si="0"/>
        <v>7380</v>
      </c>
    </row>
    <row r="11" spans="1:17" x14ac:dyDescent="0.3">
      <c r="A11" s="1"/>
      <c r="B11" s="94" t="s">
        <v>207</v>
      </c>
      <c r="D11" s="43">
        <v>0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>
        <f t="shared" si="0"/>
        <v>0</v>
      </c>
    </row>
    <row r="12" spans="1:17" x14ac:dyDescent="0.3">
      <c r="A12" s="195" t="s">
        <v>6</v>
      </c>
      <c r="B12" s="195"/>
      <c r="D12" s="28">
        <f t="shared" ref="D12:I12" si="1">SUM(D6:D11)</f>
        <v>615</v>
      </c>
      <c r="E12" s="28">
        <f t="shared" si="1"/>
        <v>615</v>
      </c>
      <c r="F12" s="28">
        <f t="shared" si="1"/>
        <v>615</v>
      </c>
      <c r="G12" s="28">
        <f t="shared" si="1"/>
        <v>615</v>
      </c>
      <c r="H12" s="28">
        <f t="shared" si="1"/>
        <v>615</v>
      </c>
      <c r="I12" s="28">
        <f t="shared" si="1"/>
        <v>615</v>
      </c>
      <c r="J12" s="28">
        <f t="shared" ref="J12:P12" si="2">SUM(J6:J11)</f>
        <v>615</v>
      </c>
      <c r="K12" s="28">
        <f t="shared" si="2"/>
        <v>615</v>
      </c>
      <c r="L12" s="28">
        <f t="shared" si="2"/>
        <v>615</v>
      </c>
      <c r="M12" s="28">
        <f t="shared" si="2"/>
        <v>615</v>
      </c>
      <c r="N12" s="28">
        <f t="shared" si="2"/>
        <v>615</v>
      </c>
      <c r="O12" s="28">
        <f t="shared" si="2"/>
        <v>615</v>
      </c>
      <c r="P12" s="28">
        <f t="shared" si="2"/>
        <v>7380</v>
      </c>
      <c r="Q12" s="8">
        <f>P12-P6-P7-P9-P11</f>
        <v>7380</v>
      </c>
    </row>
    <row r="13" spans="1:17" x14ac:dyDescent="0.3">
      <c r="A13" s="195" t="s">
        <v>7</v>
      </c>
      <c r="B13" s="195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7" x14ac:dyDescent="0.3">
      <c r="A14" s="1"/>
      <c r="B14" s="97" t="s">
        <v>8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f>SUM(D14:O14)</f>
        <v>0</v>
      </c>
    </row>
    <row r="15" spans="1:17" x14ac:dyDescent="0.3">
      <c r="A15" s="1"/>
      <c r="B15" s="97" t="s">
        <v>9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>
        <f>SUM(D15:O15)</f>
        <v>0</v>
      </c>
    </row>
    <row r="16" spans="1:17" x14ac:dyDescent="0.3">
      <c r="A16" s="1"/>
      <c r="B16" s="97" t="s">
        <v>219</v>
      </c>
      <c r="D16" s="43">
        <v>0</v>
      </c>
      <c r="E16" s="43"/>
      <c r="F16" s="43"/>
      <c r="G16" s="43"/>
      <c r="H16" s="43"/>
      <c r="I16" s="43"/>
      <c r="J16" s="43"/>
      <c r="K16" s="43"/>
      <c r="L16" s="43">
        <v>0</v>
      </c>
      <c r="M16" s="43">
        <v>0</v>
      </c>
      <c r="N16" s="43">
        <v>0</v>
      </c>
      <c r="O16" s="43">
        <v>0</v>
      </c>
      <c r="P16" s="43">
        <f>SUM(D16:O16)</f>
        <v>0</v>
      </c>
    </row>
    <row r="17" spans="1:17" x14ac:dyDescent="0.3">
      <c r="A17" s="1"/>
      <c r="B17" s="66" t="s">
        <v>16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f>SUM(D17:O17)</f>
        <v>0</v>
      </c>
    </row>
    <row r="18" spans="1:17" x14ac:dyDescent="0.3">
      <c r="A18" s="195" t="s">
        <v>10</v>
      </c>
      <c r="B18" s="195"/>
      <c r="D18" s="28">
        <f t="shared" ref="D18:I18" si="3">SUM(D14:D17)</f>
        <v>0</v>
      </c>
      <c r="E18" s="28">
        <f t="shared" si="3"/>
        <v>0</v>
      </c>
      <c r="F18" s="28">
        <f t="shared" si="3"/>
        <v>0</v>
      </c>
      <c r="G18" s="28">
        <f t="shared" si="3"/>
        <v>0</v>
      </c>
      <c r="H18" s="28">
        <f t="shared" si="3"/>
        <v>0</v>
      </c>
      <c r="I18" s="28">
        <f t="shared" si="3"/>
        <v>0</v>
      </c>
      <c r="J18" s="28">
        <f t="shared" ref="J18:P18" si="4">SUM(J14:J17)</f>
        <v>0</v>
      </c>
      <c r="K18" s="28">
        <f t="shared" si="4"/>
        <v>0</v>
      </c>
      <c r="L18" s="28">
        <f t="shared" si="4"/>
        <v>0</v>
      </c>
      <c r="M18" s="28">
        <f t="shared" si="4"/>
        <v>0</v>
      </c>
      <c r="N18" s="28">
        <f t="shared" si="4"/>
        <v>0</v>
      </c>
      <c r="O18" s="28">
        <f t="shared" si="4"/>
        <v>0</v>
      </c>
      <c r="P18" s="28">
        <f t="shared" si="4"/>
        <v>0</v>
      </c>
      <c r="Q18" s="8">
        <f>P18-P14-P15-P16-P17</f>
        <v>0</v>
      </c>
    </row>
    <row r="19" spans="1:17" x14ac:dyDescent="0.3">
      <c r="A19" s="195" t="s">
        <v>11</v>
      </c>
      <c r="B19" s="195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x14ac:dyDescent="0.3">
      <c r="A20" s="1"/>
      <c r="B20" s="2" t="s">
        <v>12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>
        <f t="shared" ref="P20:P25" si="5">SUM(D20:O20)</f>
        <v>0</v>
      </c>
    </row>
    <row r="21" spans="1:17" x14ac:dyDescent="0.3">
      <c r="A21" s="1"/>
      <c r="B21" s="2" t="s">
        <v>96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>
        <f t="shared" si="5"/>
        <v>0</v>
      </c>
    </row>
    <row r="22" spans="1:17" x14ac:dyDescent="0.3">
      <c r="A22" s="1"/>
      <c r="B22" s="2" t="s">
        <v>97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>
        <f t="shared" si="5"/>
        <v>0</v>
      </c>
    </row>
    <row r="23" spans="1:17" x14ac:dyDescent="0.3">
      <c r="A23" s="1"/>
      <c r="B23" s="2" t="s">
        <v>13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>
        <f t="shared" si="5"/>
        <v>0</v>
      </c>
    </row>
    <row r="24" spans="1:17" x14ac:dyDescent="0.3">
      <c r="A24" s="1"/>
      <c r="B24" s="2" t="s">
        <v>14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>
        <f t="shared" si="5"/>
        <v>0</v>
      </c>
    </row>
    <row r="25" spans="1:17" x14ac:dyDescent="0.3">
      <c r="A25" s="1"/>
      <c r="B25" s="1"/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f t="shared" si="5"/>
        <v>0</v>
      </c>
    </row>
    <row r="26" spans="1:17" x14ac:dyDescent="0.3">
      <c r="A26" s="195" t="s">
        <v>15</v>
      </c>
      <c r="B26" s="195"/>
      <c r="D26" s="28">
        <f t="shared" ref="D26:I26" si="6">SUM(D20:D25)</f>
        <v>0</v>
      </c>
      <c r="E26" s="28">
        <f t="shared" si="6"/>
        <v>0</v>
      </c>
      <c r="F26" s="28">
        <f t="shared" si="6"/>
        <v>0</v>
      </c>
      <c r="G26" s="28">
        <f t="shared" si="6"/>
        <v>0</v>
      </c>
      <c r="H26" s="28">
        <f t="shared" si="6"/>
        <v>0</v>
      </c>
      <c r="I26" s="28">
        <f t="shared" si="6"/>
        <v>0</v>
      </c>
      <c r="J26" s="28">
        <f t="shared" ref="J26:P26" si="7">SUM(J20:J25)</f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8">
        <f t="shared" si="7"/>
        <v>0</v>
      </c>
      <c r="O26" s="28">
        <f t="shared" si="7"/>
        <v>0</v>
      </c>
      <c r="P26" s="28">
        <f t="shared" si="7"/>
        <v>0</v>
      </c>
      <c r="Q26" s="8">
        <f>SUM(P20:P25)-P26</f>
        <v>0</v>
      </c>
    </row>
    <row r="27" spans="1:17" x14ac:dyDescent="0.3">
      <c r="A27" s="195" t="s">
        <v>16</v>
      </c>
      <c r="B27" s="195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7" x14ac:dyDescent="0.3">
      <c r="A28" s="2" t="s">
        <v>17</v>
      </c>
      <c r="B28" s="2" t="s">
        <v>18</v>
      </c>
      <c r="D28" s="42"/>
      <c r="E28" s="42"/>
      <c r="F28" s="42"/>
      <c r="G28" s="42"/>
      <c r="H28" s="42"/>
      <c r="I28" s="42"/>
      <c r="P28">
        <f>SUM(D28:O28)</f>
        <v>0</v>
      </c>
    </row>
    <row r="29" spans="1:17" x14ac:dyDescent="0.3">
      <c r="A29" s="2" t="s">
        <v>17</v>
      </c>
      <c r="B29" s="2" t="s">
        <v>19</v>
      </c>
      <c r="D29" s="42"/>
      <c r="E29" s="42"/>
      <c r="F29" s="42"/>
      <c r="G29" s="42"/>
      <c r="H29" s="42"/>
      <c r="I29" s="42"/>
      <c r="P29">
        <f>SUM(D29:O29)</f>
        <v>0</v>
      </c>
    </row>
    <row r="30" spans="1:17" x14ac:dyDescent="0.3">
      <c r="A30" s="2" t="s">
        <v>17</v>
      </c>
      <c r="B30" s="2" t="s">
        <v>20</v>
      </c>
      <c r="D30" s="42"/>
      <c r="E30" s="42"/>
      <c r="F30" s="42"/>
      <c r="G30" s="42"/>
      <c r="H30" s="42"/>
      <c r="I30" s="42"/>
      <c r="P30">
        <f>SUM(D30:O30)</f>
        <v>0</v>
      </c>
    </row>
    <row r="31" spans="1:17" x14ac:dyDescent="0.3">
      <c r="A31" s="2" t="s">
        <v>17</v>
      </c>
      <c r="B31" s="2" t="s">
        <v>21</v>
      </c>
      <c r="D31" s="42"/>
      <c r="E31" s="42"/>
      <c r="F31" s="42"/>
      <c r="G31" s="42"/>
      <c r="H31" s="42"/>
      <c r="I31" s="42"/>
      <c r="P31">
        <f>SUM(D31:O31)</f>
        <v>0</v>
      </c>
    </row>
    <row r="32" spans="1:17" x14ac:dyDescent="0.3">
      <c r="A32" s="1"/>
      <c r="B32" s="1"/>
      <c r="D32" s="30">
        <f t="shared" ref="D32:I32" si="8">D12+D18+D26+D28+D29+D30+D31</f>
        <v>615</v>
      </c>
      <c r="E32" s="30">
        <f t="shared" si="8"/>
        <v>615</v>
      </c>
      <c r="F32" s="30">
        <f t="shared" si="8"/>
        <v>615</v>
      </c>
      <c r="G32" s="30">
        <f t="shared" si="8"/>
        <v>615</v>
      </c>
      <c r="H32" s="30">
        <f t="shared" si="8"/>
        <v>615</v>
      </c>
      <c r="I32" s="30">
        <f t="shared" si="8"/>
        <v>615</v>
      </c>
      <c r="J32" s="30">
        <f t="shared" ref="J32:P32" si="9">J12+J18+J26+J28+J29+J30+J31</f>
        <v>615</v>
      </c>
      <c r="K32" s="30">
        <f t="shared" si="9"/>
        <v>615</v>
      </c>
      <c r="L32" s="30">
        <f t="shared" si="9"/>
        <v>615</v>
      </c>
      <c r="M32" s="30">
        <f t="shared" si="9"/>
        <v>615</v>
      </c>
      <c r="N32" s="30">
        <f t="shared" si="9"/>
        <v>615</v>
      </c>
      <c r="O32" s="30">
        <f t="shared" si="9"/>
        <v>615</v>
      </c>
      <c r="P32" s="30">
        <f t="shared" si="9"/>
        <v>7380</v>
      </c>
      <c r="Q32" s="8">
        <f>SUM(P28:P31)*P32</f>
        <v>0</v>
      </c>
    </row>
    <row r="33" spans="1:17" x14ac:dyDescent="0.3">
      <c r="A33" s="1"/>
      <c r="B33" s="1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7" x14ac:dyDescent="0.3">
      <c r="A34" s="195" t="s">
        <v>22</v>
      </c>
      <c r="B34" s="195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7" x14ac:dyDescent="0.3">
      <c r="A35" s="1"/>
      <c r="B35" s="2" t="s">
        <v>23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0">
        <f>SUM(D35:O35)</f>
        <v>0</v>
      </c>
    </row>
    <row r="36" spans="1:17" x14ac:dyDescent="0.3">
      <c r="A36" s="1"/>
      <c r="B36" s="2" t="s">
        <v>24</v>
      </c>
      <c r="D36" s="43">
        <f>D35*0.0755</f>
        <v>0</v>
      </c>
      <c r="E36" s="43">
        <f t="shared" ref="E36:O36" si="10">E35*0.0755</f>
        <v>0</v>
      </c>
      <c r="F36" s="43">
        <f t="shared" si="10"/>
        <v>0</v>
      </c>
      <c r="G36" s="43">
        <f t="shared" si="10"/>
        <v>0</v>
      </c>
      <c r="H36" s="43">
        <f t="shared" si="10"/>
        <v>0</v>
      </c>
      <c r="I36" s="43">
        <f t="shared" si="10"/>
        <v>0</v>
      </c>
      <c r="J36" s="43">
        <f t="shared" si="10"/>
        <v>0</v>
      </c>
      <c r="K36" s="43">
        <f t="shared" si="10"/>
        <v>0</v>
      </c>
      <c r="L36" s="43">
        <f t="shared" si="10"/>
        <v>0</v>
      </c>
      <c r="M36" s="43">
        <f t="shared" si="10"/>
        <v>0</v>
      </c>
      <c r="N36" s="43">
        <f t="shared" si="10"/>
        <v>0</v>
      </c>
      <c r="O36" s="43">
        <f t="shared" si="10"/>
        <v>0</v>
      </c>
      <c r="P36" s="40">
        <f t="shared" ref="P36:P42" si="11">SUM(D36:O36)</f>
        <v>0</v>
      </c>
    </row>
    <row r="37" spans="1:17" x14ac:dyDescent="0.3">
      <c r="A37" s="1"/>
      <c r="B37" s="2" t="s">
        <v>25</v>
      </c>
      <c r="D37" s="40">
        <f>D35*0.013</f>
        <v>0</v>
      </c>
      <c r="E37" s="40">
        <f t="shared" ref="E37:O37" si="12">E35*0.013</f>
        <v>0</v>
      </c>
      <c r="F37" s="40">
        <f t="shared" si="12"/>
        <v>0</v>
      </c>
      <c r="G37" s="40">
        <f t="shared" si="12"/>
        <v>0</v>
      </c>
      <c r="H37" s="40">
        <f t="shared" si="12"/>
        <v>0</v>
      </c>
      <c r="I37" s="40">
        <f t="shared" si="12"/>
        <v>0</v>
      </c>
      <c r="J37" s="40">
        <f t="shared" si="12"/>
        <v>0</v>
      </c>
      <c r="K37" s="40">
        <f t="shared" si="12"/>
        <v>0</v>
      </c>
      <c r="L37" s="40">
        <f t="shared" si="12"/>
        <v>0</v>
      </c>
      <c r="M37" s="40">
        <f t="shared" si="12"/>
        <v>0</v>
      </c>
      <c r="N37" s="40">
        <f t="shared" si="12"/>
        <v>0</v>
      </c>
      <c r="O37" s="40">
        <f t="shared" si="12"/>
        <v>0</v>
      </c>
      <c r="P37" s="40">
        <f t="shared" si="11"/>
        <v>0</v>
      </c>
    </row>
    <row r="38" spans="1:17" x14ac:dyDescent="0.3">
      <c r="A38" s="1"/>
      <c r="B38" s="2" t="s">
        <v>26</v>
      </c>
      <c r="D38" s="43">
        <f>D35*0.0894</f>
        <v>0</v>
      </c>
      <c r="E38" s="43">
        <f t="shared" ref="E38:O38" si="13">E35*0.0894</f>
        <v>0</v>
      </c>
      <c r="F38" s="43">
        <f t="shared" si="13"/>
        <v>0</v>
      </c>
      <c r="G38" s="43">
        <f t="shared" si="13"/>
        <v>0</v>
      </c>
      <c r="H38" s="43">
        <f t="shared" si="13"/>
        <v>0</v>
      </c>
      <c r="I38" s="43">
        <f t="shared" si="13"/>
        <v>0</v>
      </c>
      <c r="J38" s="43">
        <f t="shared" si="13"/>
        <v>0</v>
      </c>
      <c r="K38" s="43">
        <f t="shared" si="13"/>
        <v>0</v>
      </c>
      <c r="L38" s="43">
        <f t="shared" si="13"/>
        <v>0</v>
      </c>
      <c r="M38" s="43">
        <f t="shared" si="13"/>
        <v>0</v>
      </c>
      <c r="N38" s="43">
        <f t="shared" si="13"/>
        <v>0</v>
      </c>
      <c r="O38" s="43">
        <f t="shared" si="13"/>
        <v>0</v>
      </c>
      <c r="P38" s="40">
        <f t="shared" si="11"/>
        <v>0</v>
      </c>
    </row>
    <row r="39" spans="1:17" x14ac:dyDescent="0.3">
      <c r="A39" s="1"/>
      <c r="B39" s="2" t="s">
        <v>27</v>
      </c>
      <c r="D39" s="43">
        <f t="shared" ref="D39:O39" si="14">D35*0.0087</f>
        <v>0</v>
      </c>
      <c r="E39" s="43">
        <f t="shared" si="14"/>
        <v>0</v>
      </c>
      <c r="F39" s="43">
        <f t="shared" si="14"/>
        <v>0</v>
      </c>
      <c r="G39" s="43">
        <f t="shared" si="14"/>
        <v>0</v>
      </c>
      <c r="H39" s="43">
        <f t="shared" si="14"/>
        <v>0</v>
      </c>
      <c r="I39" s="43">
        <f t="shared" si="14"/>
        <v>0</v>
      </c>
      <c r="J39" s="43">
        <f t="shared" si="14"/>
        <v>0</v>
      </c>
      <c r="K39" s="43">
        <f t="shared" si="14"/>
        <v>0</v>
      </c>
      <c r="L39" s="43">
        <f t="shared" si="14"/>
        <v>0</v>
      </c>
      <c r="M39" s="43">
        <f t="shared" si="14"/>
        <v>0</v>
      </c>
      <c r="N39" s="43">
        <f t="shared" si="14"/>
        <v>0</v>
      </c>
      <c r="O39" s="43">
        <f t="shared" si="14"/>
        <v>0</v>
      </c>
      <c r="P39" s="40">
        <f t="shared" si="11"/>
        <v>0</v>
      </c>
    </row>
    <row r="40" spans="1:17" x14ac:dyDescent="0.3">
      <c r="A40" s="1"/>
      <c r="B40" s="2" t="s">
        <v>28</v>
      </c>
      <c r="D40" s="43">
        <f>D35*0.0277</f>
        <v>0</v>
      </c>
      <c r="E40" s="43">
        <f t="shared" ref="E40:O40" si="15">E35*0.0277</f>
        <v>0</v>
      </c>
      <c r="F40" s="43">
        <f t="shared" si="15"/>
        <v>0</v>
      </c>
      <c r="G40" s="43">
        <f t="shared" si="15"/>
        <v>0</v>
      </c>
      <c r="H40" s="43">
        <f t="shared" si="15"/>
        <v>0</v>
      </c>
      <c r="I40" s="43">
        <f t="shared" si="15"/>
        <v>0</v>
      </c>
      <c r="J40" s="43">
        <f t="shared" si="15"/>
        <v>0</v>
      </c>
      <c r="K40" s="43">
        <f t="shared" si="15"/>
        <v>0</v>
      </c>
      <c r="L40" s="43">
        <f t="shared" si="15"/>
        <v>0</v>
      </c>
      <c r="M40" s="43">
        <f t="shared" si="15"/>
        <v>0</v>
      </c>
      <c r="N40" s="43">
        <f t="shared" si="15"/>
        <v>0</v>
      </c>
      <c r="O40" s="43">
        <f t="shared" si="15"/>
        <v>0</v>
      </c>
      <c r="P40" s="40">
        <f t="shared" si="11"/>
        <v>0</v>
      </c>
    </row>
    <row r="41" spans="1:17" x14ac:dyDescent="0.3">
      <c r="A41" s="1"/>
      <c r="B41" s="2" t="s">
        <v>29</v>
      </c>
      <c r="D41" s="40">
        <f>D35*0.019</f>
        <v>0</v>
      </c>
      <c r="E41" s="40">
        <f t="shared" ref="E41:O41" si="16">E35*0.019</f>
        <v>0</v>
      </c>
      <c r="F41" s="40">
        <f t="shared" si="16"/>
        <v>0</v>
      </c>
      <c r="G41" s="40">
        <f t="shared" si="16"/>
        <v>0</v>
      </c>
      <c r="H41" s="40">
        <f t="shared" si="16"/>
        <v>0</v>
      </c>
      <c r="I41" s="40">
        <f t="shared" si="16"/>
        <v>0</v>
      </c>
      <c r="J41" s="40">
        <f t="shared" si="16"/>
        <v>0</v>
      </c>
      <c r="K41" s="40">
        <f t="shared" si="16"/>
        <v>0</v>
      </c>
      <c r="L41" s="40">
        <f t="shared" si="16"/>
        <v>0</v>
      </c>
      <c r="M41" s="40">
        <f t="shared" si="16"/>
        <v>0</v>
      </c>
      <c r="N41" s="40">
        <f t="shared" si="16"/>
        <v>0</v>
      </c>
      <c r="O41" s="40">
        <f t="shared" si="16"/>
        <v>0</v>
      </c>
      <c r="P41" s="40">
        <f t="shared" si="11"/>
        <v>0</v>
      </c>
    </row>
    <row r="42" spans="1:17" x14ac:dyDescent="0.3">
      <c r="A42" s="1"/>
      <c r="B42" s="2" t="s">
        <v>30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>
        <f t="shared" si="11"/>
        <v>0</v>
      </c>
    </row>
    <row r="43" spans="1:17" x14ac:dyDescent="0.3">
      <c r="A43" s="195" t="s">
        <v>31</v>
      </c>
      <c r="B43" s="195"/>
      <c r="D43" s="55">
        <f t="shared" ref="D43:I43" si="17">SUM(D35:D42)</f>
        <v>0</v>
      </c>
      <c r="E43" s="55">
        <f t="shared" si="17"/>
        <v>0</v>
      </c>
      <c r="F43" s="55">
        <f t="shared" si="17"/>
        <v>0</v>
      </c>
      <c r="G43" s="55">
        <f t="shared" si="17"/>
        <v>0</v>
      </c>
      <c r="H43" s="55">
        <f t="shared" si="17"/>
        <v>0</v>
      </c>
      <c r="I43" s="55">
        <f t="shared" si="17"/>
        <v>0</v>
      </c>
      <c r="J43" s="55">
        <f t="shared" ref="J43:P43" si="18">SUM(J35:J42)</f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8">
        <f>SUM(P35:P42)</f>
        <v>0</v>
      </c>
    </row>
    <row r="44" spans="1:17" x14ac:dyDescent="0.3">
      <c r="A44" s="195" t="s">
        <v>32</v>
      </c>
      <c r="B44" s="195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7" x14ac:dyDescent="0.3">
      <c r="A45" s="1"/>
      <c r="B45" s="2" t="s">
        <v>33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>
        <f t="shared" ref="P45:P52" si="19">SUM(D45:O45)</f>
        <v>0</v>
      </c>
    </row>
    <row r="46" spans="1:17" x14ac:dyDescent="0.3">
      <c r="A46" s="1"/>
      <c r="B46" s="2" t="s">
        <v>34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0">
        <f t="shared" si="19"/>
        <v>0</v>
      </c>
    </row>
    <row r="47" spans="1:17" x14ac:dyDescent="0.3">
      <c r="A47" s="1"/>
      <c r="B47" s="2" t="s">
        <v>35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>
        <f t="shared" si="19"/>
        <v>0</v>
      </c>
    </row>
    <row r="48" spans="1:17" x14ac:dyDescent="0.3">
      <c r="A48" s="1"/>
      <c r="B48" s="2" t="s">
        <v>36</v>
      </c>
      <c r="D48" s="43">
        <v>10</v>
      </c>
      <c r="E48" s="43">
        <v>10</v>
      </c>
      <c r="F48" s="43">
        <v>10</v>
      </c>
      <c r="G48" s="43">
        <v>10</v>
      </c>
      <c r="H48" s="43">
        <v>10</v>
      </c>
      <c r="I48" s="43">
        <v>10</v>
      </c>
      <c r="J48" s="43">
        <v>10</v>
      </c>
      <c r="K48" s="43">
        <v>10</v>
      </c>
      <c r="L48" s="43">
        <v>10</v>
      </c>
      <c r="M48" s="43">
        <v>10</v>
      </c>
      <c r="N48" s="43">
        <v>10</v>
      </c>
      <c r="O48" s="43">
        <v>10</v>
      </c>
      <c r="P48" s="43">
        <f t="shared" si="19"/>
        <v>120</v>
      </c>
    </row>
    <row r="49" spans="1:17" x14ac:dyDescent="0.3">
      <c r="A49" s="1"/>
      <c r="B49" s="2" t="s">
        <v>37</v>
      </c>
      <c r="D49" s="43">
        <v>10</v>
      </c>
      <c r="E49" s="43">
        <v>10</v>
      </c>
      <c r="F49" s="43">
        <v>10</v>
      </c>
      <c r="G49" s="43">
        <v>10</v>
      </c>
      <c r="H49" s="43">
        <v>10</v>
      </c>
      <c r="I49" s="43">
        <v>10</v>
      </c>
      <c r="J49" s="43">
        <v>10</v>
      </c>
      <c r="K49" s="43">
        <v>10</v>
      </c>
      <c r="L49" s="43">
        <v>10</v>
      </c>
      <c r="M49" s="43">
        <v>10</v>
      </c>
      <c r="N49" s="43">
        <v>10</v>
      </c>
      <c r="O49" s="43">
        <v>10</v>
      </c>
      <c r="P49" s="43">
        <f t="shared" si="19"/>
        <v>120</v>
      </c>
    </row>
    <row r="50" spans="1:17" s="42" customFormat="1" x14ac:dyDescent="0.3">
      <c r="A50" s="1"/>
      <c r="B50" s="93" t="s">
        <v>194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>
        <f t="shared" si="19"/>
        <v>0</v>
      </c>
    </row>
    <row r="51" spans="1:17" x14ac:dyDescent="0.3">
      <c r="A51" s="1"/>
      <c r="B51" s="2" t="s">
        <v>38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>
        <f t="shared" si="19"/>
        <v>0</v>
      </c>
    </row>
    <row r="52" spans="1:17" x14ac:dyDescent="0.3">
      <c r="A52" s="1"/>
      <c r="B52" s="2" t="s">
        <v>39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f t="shared" si="19"/>
        <v>0</v>
      </c>
    </row>
    <row r="53" spans="1:17" x14ac:dyDescent="0.3">
      <c r="A53" s="195" t="s">
        <v>40</v>
      </c>
      <c r="B53" s="195"/>
      <c r="D53" s="28">
        <f t="shared" ref="D53:I53" si="20">SUM(D45:D52)</f>
        <v>20</v>
      </c>
      <c r="E53" s="28">
        <f t="shared" si="20"/>
        <v>20</v>
      </c>
      <c r="F53" s="28">
        <f t="shared" si="20"/>
        <v>20</v>
      </c>
      <c r="G53" s="28">
        <f t="shared" si="20"/>
        <v>20</v>
      </c>
      <c r="H53" s="28">
        <f t="shared" si="20"/>
        <v>20</v>
      </c>
      <c r="I53" s="28">
        <f t="shared" si="20"/>
        <v>20</v>
      </c>
      <c r="J53" s="28">
        <f t="shared" ref="J53:P53" si="21">SUM(J45:J52)</f>
        <v>20</v>
      </c>
      <c r="K53" s="28">
        <f t="shared" si="21"/>
        <v>20</v>
      </c>
      <c r="L53" s="28">
        <f t="shared" si="21"/>
        <v>20</v>
      </c>
      <c r="M53" s="28">
        <f t="shared" si="21"/>
        <v>20</v>
      </c>
      <c r="N53" s="28">
        <f t="shared" si="21"/>
        <v>20</v>
      </c>
      <c r="O53" s="28">
        <f t="shared" si="21"/>
        <v>20</v>
      </c>
      <c r="P53" s="28">
        <f t="shared" si="21"/>
        <v>240</v>
      </c>
      <c r="Q53" s="8">
        <f>SUM(P52)-P53</f>
        <v>-240</v>
      </c>
    </row>
    <row r="54" spans="1:17" x14ac:dyDescent="0.3">
      <c r="A54" s="195" t="s">
        <v>41</v>
      </c>
      <c r="B54" s="195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7" x14ac:dyDescent="0.3">
      <c r="A55" s="1"/>
      <c r="B55" s="2" t="s">
        <v>42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f t="shared" ref="P55:P83" si="22">SUM(D55:O55)</f>
        <v>0</v>
      </c>
    </row>
    <row r="56" spans="1:17" x14ac:dyDescent="0.3">
      <c r="A56" s="1"/>
      <c r="B56" s="2" t="s">
        <v>43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>
        <f t="shared" si="22"/>
        <v>0</v>
      </c>
    </row>
    <row r="57" spans="1:17" x14ac:dyDescent="0.3">
      <c r="A57" s="1"/>
      <c r="B57" s="2" t="s">
        <v>44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>
        <f t="shared" si="22"/>
        <v>0</v>
      </c>
    </row>
    <row r="58" spans="1:17" x14ac:dyDescent="0.3">
      <c r="A58" s="1"/>
      <c r="B58" s="2" t="s">
        <v>45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>
        <f t="shared" si="22"/>
        <v>0</v>
      </c>
    </row>
    <row r="59" spans="1:17" x14ac:dyDescent="0.3">
      <c r="A59" s="1"/>
      <c r="B59" s="2" t="s">
        <v>46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f t="shared" si="22"/>
        <v>0</v>
      </c>
    </row>
    <row r="60" spans="1:17" x14ac:dyDescent="0.3">
      <c r="A60" s="1"/>
      <c r="B60" s="2" t="s">
        <v>47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f t="shared" si="22"/>
        <v>0</v>
      </c>
    </row>
    <row r="61" spans="1:17" x14ac:dyDescent="0.3">
      <c r="A61" s="1"/>
      <c r="B61" s="2" t="s">
        <v>48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f t="shared" si="22"/>
        <v>0</v>
      </c>
    </row>
    <row r="62" spans="1:17" x14ac:dyDescent="0.3">
      <c r="A62" s="1"/>
      <c r="B62" s="2" t="s">
        <v>49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>
        <f t="shared" si="22"/>
        <v>0</v>
      </c>
    </row>
    <row r="63" spans="1:17" x14ac:dyDescent="0.3">
      <c r="A63" s="1"/>
      <c r="B63" s="2" t="s">
        <v>50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f t="shared" si="22"/>
        <v>0</v>
      </c>
    </row>
    <row r="64" spans="1:17" x14ac:dyDescent="0.3">
      <c r="A64" s="1"/>
      <c r="B64" s="2" t="s">
        <v>51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22"/>
        <v>0</v>
      </c>
    </row>
    <row r="65" spans="1:16" x14ac:dyDescent="0.3">
      <c r="A65" s="1"/>
      <c r="B65" s="2" t="s">
        <v>52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>
        <f t="shared" si="22"/>
        <v>0</v>
      </c>
    </row>
    <row r="66" spans="1:16" x14ac:dyDescent="0.3">
      <c r="A66" s="1"/>
      <c r="B66" s="2" t="s">
        <v>53</v>
      </c>
      <c r="D66" s="43">
        <v>5</v>
      </c>
      <c r="E66" s="43">
        <v>5</v>
      </c>
      <c r="F66" s="43">
        <v>5</v>
      </c>
      <c r="G66" s="43">
        <v>5</v>
      </c>
      <c r="H66" s="43">
        <v>5</v>
      </c>
      <c r="I66" s="43">
        <v>5</v>
      </c>
      <c r="J66" s="43">
        <v>5</v>
      </c>
      <c r="K66" s="43">
        <v>5</v>
      </c>
      <c r="L66" s="43">
        <v>5</v>
      </c>
      <c r="M66" s="43">
        <v>5</v>
      </c>
      <c r="N66" s="43">
        <v>5</v>
      </c>
      <c r="O66" s="43">
        <v>5</v>
      </c>
      <c r="P66" s="43">
        <f t="shared" si="22"/>
        <v>60</v>
      </c>
    </row>
    <row r="67" spans="1:16" x14ac:dyDescent="0.3">
      <c r="A67" s="1"/>
      <c r="B67" s="2" t="s">
        <v>54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>
        <f t="shared" si="22"/>
        <v>0</v>
      </c>
    </row>
    <row r="68" spans="1:16" x14ac:dyDescent="0.3">
      <c r="A68" s="1"/>
      <c r="B68" s="2" t="s">
        <v>55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>
        <f t="shared" si="22"/>
        <v>0</v>
      </c>
    </row>
    <row r="69" spans="1:16" x14ac:dyDescent="0.3">
      <c r="A69" s="1"/>
      <c r="B69" s="2" t="s">
        <v>56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>
        <f t="shared" si="22"/>
        <v>0</v>
      </c>
    </row>
    <row r="70" spans="1:16" x14ac:dyDescent="0.3">
      <c r="A70" s="1"/>
      <c r="B70" s="2" t="s">
        <v>57</v>
      </c>
      <c r="D70" s="43">
        <v>23</v>
      </c>
      <c r="E70" s="43">
        <v>23</v>
      </c>
      <c r="F70" s="43">
        <v>23</v>
      </c>
      <c r="G70" s="43">
        <v>23</v>
      </c>
      <c r="H70" s="43">
        <v>23</v>
      </c>
      <c r="I70" s="43">
        <v>23</v>
      </c>
      <c r="J70" s="43">
        <v>23</v>
      </c>
      <c r="K70" s="43">
        <v>23</v>
      </c>
      <c r="L70" s="43">
        <v>23</v>
      </c>
      <c r="M70" s="43">
        <v>23</v>
      </c>
      <c r="N70" s="43">
        <v>23</v>
      </c>
      <c r="O70" s="43">
        <v>23</v>
      </c>
      <c r="P70" s="43">
        <f t="shared" si="22"/>
        <v>276</v>
      </c>
    </row>
    <row r="71" spans="1:16" x14ac:dyDescent="0.3">
      <c r="A71" s="1"/>
      <c r="B71" s="2" t="s">
        <v>58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>
        <f t="shared" si="22"/>
        <v>0</v>
      </c>
    </row>
    <row r="72" spans="1:16" x14ac:dyDescent="0.3">
      <c r="A72" s="1"/>
      <c r="B72" s="2" t="s">
        <v>59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>
        <f t="shared" si="22"/>
        <v>0</v>
      </c>
    </row>
    <row r="73" spans="1:16" x14ac:dyDescent="0.3">
      <c r="A73" s="1"/>
      <c r="B73" s="2" t="s">
        <v>60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>
        <f t="shared" si="22"/>
        <v>0</v>
      </c>
    </row>
    <row r="74" spans="1:16" x14ac:dyDescent="0.3">
      <c r="A74" s="1"/>
      <c r="B74" s="2" t="s">
        <v>61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 t="shared" si="22"/>
        <v>0</v>
      </c>
    </row>
    <row r="75" spans="1:16" x14ac:dyDescent="0.3">
      <c r="A75" s="1"/>
      <c r="B75" s="2" t="s">
        <v>62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>
        <f t="shared" si="22"/>
        <v>0</v>
      </c>
    </row>
    <row r="76" spans="1:16" x14ac:dyDescent="0.3">
      <c r="A76" s="1"/>
      <c r="B76" s="2" t="s">
        <v>63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>
        <f t="shared" si="22"/>
        <v>0</v>
      </c>
    </row>
    <row r="77" spans="1:16" x14ac:dyDescent="0.3">
      <c r="A77" s="2" t="s">
        <v>17</v>
      </c>
      <c r="B77" s="2" t="s">
        <v>64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>
        <f t="shared" si="22"/>
        <v>0</v>
      </c>
    </row>
    <row r="78" spans="1:16" x14ac:dyDescent="0.3">
      <c r="A78" s="1"/>
      <c r="B78" s="2" t="s">
        <v>65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>
        <f t="shared" si="22"/>
        <v>0</v>
      </c>
    </row>
    <row r="79" spans="1:16" x14ac:dyDescent="0.3">
      <c r="A79" s="1"/>
      <c r="B79" s="1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f t="shared" si="22"/>
        <v>0</v>
      </c>
    </row>
    <row r="80" spans="1:16" x14ac:dyDescent="0.3">
      <c r="A80" s="1"/>
      <c r="B80" s="2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f t="shared" si="22"/>
        <v>0</v>
      </c>
    </row>
    <row r="81" spans="1:17" x14ac:dyDescent="0.3">
      <c r="A81" s="1"/>
      <c r="B81" s="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>
        <f t="shared" si="22"/>
        <v>0</v>
      </c>
    </row>
    <row r="82" spans="1:17" x14ac:dyDescent="0.3">
      <c r="A82" s="1"/>
      <c r="B82" s="2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>
        <f t="shared" si="22"/>
        <v>0</v>
      </c>
    </row>
    <row r="83" spans="1:17" x14ac:dyDescent="0.3">
      <c r="A83" s="1"/>
      <c r="B83" s="2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f t="shared" si="22"/>
        <v>0</v>
      </c>
    </row>
    <row r="84" spans="1:17" x14ac:dyDescent="0.3">
      <c r="A84" s="195" t="s">
        <v>66</v>
      </c>
      <c r="B84" s="195"/>
      <c r="D84" s="28">
        <f t="shared" ref="D84:I84" si="23">SUM(D56:D83)</f>
        <v>28</v>
      </c>
      <c r="E84" s="28">
        <f t="shared" si="23"/>
        <v>28</v>
      </c>
      <c r="F84" s="28">
        <f t="shared" si="23"/>
        <v>28</v>
      </c>
      <c r="G84" s="28">
        <f t="shared" si="23"/>
        <v>28</v>
      </c>
      <c r="H84" s="28">
        <f t="shared" si="23"/>
        <v>28</v>
      </c>
      <c r="I84" s="28">
        <f t="shared" si="23"/>
        <v>28</v>
      </c>
      <c r="J84" s="28">
        <f t="shared" ref="J84:P84" si="24">SUM(J56:J83)</f>
        <v>28</v>
      </c>
      <c r="K84" s="28">
        <f t="shared" si="24"/>
        <v>28</v>
      </c>
      <c r="L84" s="28">
        <f t="shared" si="24"/>
        <v>28</v>
      </c>
      <c r="M84" s="28">
        <f t="shared" si="24"/>
        <v>28</v>
      </c>
      <c r="N84" s="28">
        <f t="shared" si="24"/>
        <v>28</v>
      </c>
      <c r="O84" s="28">
        <f t="shared" si="24"/>
        <v>28</v>
      </c>
      <c r="P84" s="28">
        <f t="shared" si="24"/>
        <v>336</v>
      </c>
      <c r="Q84" s="8">
        <f>SUM(P55:P83)-P84</f>
        <v>0</v>
      </c>
    </row>
    <row r="85" spans="1:17" x14ac:dyDescent="0.3">
      <c r="A85" s="195" t="s">
        <v>67</v>
      </c>
      <c r="B85" s="195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7" x14ac:dyDescent="0.3">
      <c r="A86" s="1"/>
      <c r="B86" s="2" t="s">
        <v>68</v>
      </c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>
        <f t="shared" ref="P86:P104" si="25">SUM(D86:O86)</f>
        <v>0</v>
      </c>
    </row>
    <row r="87" spans="1:17" x14ac:dyDescent="0.3">
      <c r="A87" s="1"/>
      <c r="B87" s="2" t="s">
        <v>69</v>
      </c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>
        <f t="shared" si="25"/>
        <v>0</v>
      </c>
    </row>
    <row r="88" spans="1:17" x14ac:dyDescent="0.3">
      <c r="A88" s="1"/>
      <c r="B88" s="2" t="s">
        <v>70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>
        <f t="shared" si="25"/>
        <v>0</v>
      </c>
    </row>
    <row r="89" spans="1:17" x14ac:dyDescent="0.3">
      <c r="A89" s="1"/>
      <c r="B89" s="2" t="s">
        <v>71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>
        <f t="shared" si="25"/>
        <v>0</v>
      </c>
    </row>
    <row r="90" spans="1:17" x14ac:dyDescent="0.3">
      <c r="A90" s="1"/>
      <c r="B90" s="2" t="s">
        <v>72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>
        <f t="shared" si="25"/>
        <v>0</v>
      </c>
    </row>
    <row r="91" spans="1:17" x14ac:dyDescent="0.3">
      <c r="A91" s="1"/>
      <c r="B91" s="2" t="s">
        <v>73</v>
      </c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>
        <f t="shared" si="25"/>
        <v>0</v>
      </c>
    </row>
    <row r="92" spans="1:17" x14ac:dyDescent="0.3">
      <c r="A92" s="1"/>
      <c r="B92" s="2" t="s">
        <v>74</v>
      </c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>
        <f t="shared" si="25"/>
        <v>0</v>
      </c>
    </row>
    <row r="93" spans="1:17" x14ac:dyDescent="0.3">
      <c r="A93" s="1"/>
      <c r="B93" s="2" t="s">
        <v>75</v>
      </c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>
        <f t="shared" si="25"/>
        <v>0</v>
      </c>
    </row>
    <row r="94" spans="1:17" x14ac:dyDescent="0.3">
      <c r="A94" s="1"/>
      <c r="B94" s="2" t="s">
        <v>76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3">
        <f t="shared" si="25"/>
        <v>0</v>
      </c>
    </row>
    <row r="95" spans="1:17" x14ac:dyDescent="0.3">
      <c r="A95" s="1"/>
      <c r="B95" s="2" t="s">
        <v>77</v>
      </c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>
        <f t="shared" si="25"/>
        <v>0</v>
      </c>
    </row>
    <row r="96" spans="1:17" x14ac:dyDescent="0.3">
      <c r="A96" s="1"/>
      <c r="B96" s="2" t="s">
        <v>78</v>
      </c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>
        <f t="shared" si="25"/>
        <v>0</v>
      </c>
    </row>
    <row r="97" spans="1:17" x14ac:dyDescent="0.3">
      <c r="A97" s="1"/>
      <c r="B97" s="2" t="s">
        <v>79</v>
      </c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>
        <f t="shared" si="25"/>
        <v>0</v>
      </c>
    </row>
    <row r="98" spans="1:17" x14ac:dyDescent="0.3">
      <c r="A98" s="1"/>
      <c r="B98" s="2" t="s">
        <v>80</v>
      </c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>
        <f t="shared" si="25"/>
        <v>0</v>
      </c>
    </row>
    <row r="99" spans="1:17" x14ac:dyDescent="0.3">
      <c r="A99" s="1"/>
      <c r="B99" s="2" t="s">
        <v>81</v>
      </c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>
        <f t="shared" si="25"/>
        <v>0</v>
      </c>
    </row>
    <row r="100" spans="1:17" x14ac:dyDescent="0.3">
      <c r="A100" s="1"/>
      <c r="B100" s="2" t="s">
        <v>82</v>
      </c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>
        <f t="shared" si="25"/>
        <v>0</v>
      </c>
    </row>
    <row r="101" spans="1:17" x14ac:dyDescent="0.3">
      <c r="A101" s="1"/>
      <c r="B101" s="2" t="s">
        <v>83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>
        <f t="shared" si="25"/>
        <v>0</v>
      </c>
    </row>
    <row r="102" spans="1:17" x14ac:dyDescent="0.3">
      <c r="A102" s="1"/>
      <c r="B102" s="1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>
        <f t="shared" si="25"/>
        <v>0</v>
      </c>
    </row>
    <row r="103" spans="1:17" x14ac:dyDescent="0.3">
      <c r="A103" s="1"/>
      <c r="B103" s="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>
        <f t="shared" si="25"/>
        <v>0</v>
      </c>
    </row>
    <row r="104" spans="1:17" x14ac:dyDescent="0.3">
      <c r="A104" s="1"/>
      <c r="B104" s="2"/>
      <c r="D104" s="42"/>
      <c r="E104" s="42"/>
      <c r="F104" s="42"/>
      <c r="G104" s="42"/>
      <c r="H104" s="42"/>
      <c r="I104" s="42"/>
      <c r="P104">
        <f t="shared" si="25"/>
        <v>0</v>
      </c>
    </row>
    <row r="105" spans="1:17" x14ac:dyDescent="0.3">
      <c r="A105" s="195" t="s">
        <v>84</v>
      </c>
      <c r="B105" s="195"/>
      <c r="D105" s="5">
        <f t="shared" ref="D105:I105" si="26">SUM(D86:D104)</f>
        <v>0</v>
      </c>
      <c r="E105" s="5">
        <f t="shared" si="26"/>
        <v>0</v>
      </c>
      <c r="F105" s="5">
        <f t="shared" si="26"/>
        <v>0</v>
      </c>
      <c r="G105" s="5">
        <f t="shared" si="26"/>
        <v>0</v>
      </c>
      <c r="H105" s="5">
        <f t="shared" si="26"/>
        <v>0</v>
      </c>
      <c r="I105" s="5">
        <f t="shared" si="26"/>
        <v>0</v>
      </c>
      <c r="J105" s="5">
        <f t="shared" ref="J105:P105" si="27">SUM(J86:J104)</f>
        <v>0</v>
      </c>
      <c r="K105" s="5">
        <f t="shared" si="27"/>
        <v>0</v>
      </c>
      <c r="L105" s="5">
        <f t="shared" si="27"/>
        <v>0</v>
      </c>
      <c r="M105" s="5">
        <f t="shared" si="27"/>
        <v>0</v>
      </c>
      <c r="N105" s="5">
        <f t="shared" si="27"/>
        <v>0</v>
      </c>
      <c r="O105" s="5">
        <f t="shared" si="27"/>
        <v>0</v>
      </c>
      <c r="P105" s="5">
        <f t="shared" si="27"/>
        <v>0</v>
      </c>
      <c r="Q105" s="8">
        <f>SUM(P86:P104)-P105</f>
        <v>0</v>
      </c>
    </row>
    <row r="106" spans="1:17" x14ac:dyDescent="0.3">
      <c r="A106" s="1"/>
      <c r="B106" s="2" t="s">
        <v>85</v>
      </c>
      <c r="D106" s="60">
        <f t="shared" ref="D106:I106" si="28">D105+D84+D53+D43</f>
        <v>48</v>
      </c>
      <c r="E106" s="60">
        <f t="shared" si="28"/>
        <v>48</v>
      </c>
      <c r="F106" s="60">
        <f t="shared" si="28"/>
        <v>48</v>
      </c>
      <c r="G106" s="60">
        <f t="shared" si="28"/>
        <v>48</v>
      </c>
      <c r="H106" s="60">
        <f t="shared" si="28"/>
        <v>48</v>
      </c>
      <c r="I106" s="60">
        <f t="shared" si="28"/>
        <v>48</v>
      </c>
      <c r="J106" s="60">
        <f t="shared" ref="J106:P106" si="29">J105+J84+J53+J43</f>
        <v>48</v>
      </c>
      <c r="K106" s="60">
        <f t="shared" si="29"/>
        <v>48</v>
      </c>
      <c r="L106" s="60">
        <f t="shared" si="29"/>
        <v>48</v>
      </c>
      <c r="M106" s="60">
        <f t="shared" si="29"/>
        <v>48</v>
      </c>
      <c r="N106" s="60">
        <f t="shared" si="29"/>
        <v>48</v>
      </c>
      <c r="O106" s="60">
        <f t="shared" si="29"/>
        <v>48</v>
      </c>
      <c r="P106" s="60">
        <f t="shared" si="29"/>
        <v>576</v>
      </c>
    </row>
    <row r="107" spans="1:17" x14ac:dyDescent="0.3">
      <c r="A107" s="1"/>
      <c r="B107" s="2" t="s">
        <v>86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17" x14ac:dyDescent="0.3"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spans="1:17" ht="15" thickBot="1" x14ac:dyDescent="0.35">
      <c r="B109" t="s">
        <v>112</v>
      </c>
      <c r="D109" s="61">
        <f t="shared" ref="D109:I109" si="30">D32-D106-D107</f>
        <v>567</v>
      </c>
      <c r="E109" s="61">
        <f t="shared" si="30"/>
        <v>567</v>
      </c>
      <c r="F109" s="61">
        <f t="shared" si="30"/>
        <v>567</v>
      </c>
      <c r="G109" s="61">
        <f t="shared" si="30"/>
        <v>567</v>
      </c>
      <c r="H109" s="61">
        <f t="shared" si="30"/>
        <v>567</v>
      </c>
      <c r="I109" s="61">
        <f t="shared" si="30"/>
        <v>567</v>
      </c>
      <c r="J109" s="61">
        <f t="shared" ref="J109:P109" si="31">J32-J106-J107</f>
        <v>567</v>
      </c>
      <c r="K109" s="61">
        <f t="shared" si="31"/>
        <v>567</v>
      </c>
      <c r="L109" s="61">
        <f t="shared" si="31"/>
        <v>567</v>
      </c>
      <c r="M109" s="61">
        <f t="shared" si="31"/>
        <v>567</v>
      </c>
      <c r="N109" s="61">
        <f t="shared" si="31"/>
        <v>567</v>
      </c>
      <c r="O109" s="61">
        <f t="shared" si="31"/>
        <v>567</v>
      </c>
      <c r="P109" s="61">
        <f t="shared" si="31"/>
        <v>6804</v>
      </c>
    </row>
    <row r="110" spans="1:17" ht="15" thickTop="1" x14ac:dyDescent="0.3"/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10"/>
  <sheetViews>
    <sheetView workbookViewId="0">
      <pane xSplit="3" ySplit="3" topLeftCell="D52" activePane="bottomRight" state="frozen"/>
      <selection pane="topRight" activeCell="D1" sqref="D1"/>
      <selection pane="bottomLeft" activeCell="A4" sqref="A4"/>
      <selection pane="bottomRight" activeCell="D52" sqref="D52:O52"/>
    </sheetView>
  </sheetViews>
  <sheetFormatPr defaultRowHeight="14.4" x14ac:dyDescent="0.3"/>
  <cols>
    <col min="2" max="2" width="26.5546875" customWidth="1"/>
    <col min="3" max="3" width="1.5546875" customWidth="1"/>
    <col min="4" max="16" width="9.109375" style="43"/>
  </cols>
  <sheetData>
    <row r="1" spans="1:17" x14ac:dyDescent="0.3">
      <c r="B1" s="42" t="s">
        <v>192</v>
      </c>
      <c r="D1" s="43">
        <v>5</v>
      </c>
      <c r="E1" s="43">
        <v>5</v>
      </c>
      <c r="F1" s="43">
        <v>5</v>
      </c>
      <c r="G1" s="43">
        <v>5</v>
      </c>
      <c r="H1" s="43">
        <v>5</v>
      </c>
      <c r="I1" s="43">
        <v>5</v>
      </c>
      <c r="J1" s="43">
        <v>5</v>
      </c>
      <c r="K1" s="43">
        <v>5</v>
      </c>
      <c r="L1" s="43">
        <v>5</v>
      </c>
      <c r="M1" s="43">
        <v>5</v>
      </c>
      <c r="N1" s="43">
        <v>5</v>
      </c>
      <c r="O1" s="43">
        <v>5</v>
      </c>
    </row>
    <row r="2" spans="1:17" x14ac:dyDescent="0.3">
      <c r="B2" s="43" t="s">
        <v>191</v>
      </c>
      <c r="D2" s="43">
        <v>5</v>
      </c>
      <c r="E2" s="43">
        <v>5</v>
      </c>
      <c r="F2" s="43">
        <v>5</v>
      </c>
      <c r="G2" s="43">
        <v>5</v>
      </c>
      <c r="H2" s="43">
        <v>5</v>
      </c>
      <c r="I2" s="43">
        <v>5</v>
      </c>
      <c r="J2" s="43">
        <v>5</v>
      </c>
      <c r="K2" s="43">
        <v>5</v>
      </c>
      <c r="L2" s="43">
        <v>5</v>
      </c>
      <c r="M2" s="43">
        <v>5</v>
      </c>
      <c r="N2" s="43">
        <v>5</v>
      </c>
      <c r="O2" s="43">
        <v>5</v>
      </c>
    </row>
    <row r="3" spans="1:17" x14ac:dyDescent="0.3">
      <c r="D3" s="54" t="s">
        <v>100</v>
      </c>
      <c r="E3" s="54" t="s">
        <v>101</v>
      </c>
      <c r="F3" s="54" t="s">
        <v>102</v>
      </c>
      <c r="G3" s="54" t="s">
        <v>103</v>
      </c>
      <c r="H3" s="54" t="s">
        <v>104</v>
      </c>
      <c r="I3" s="54" t="s">
        <v>105</v>
      </c>
      <c r="J3" s="54" t="s">
        <v>106</v>
      </c>
      <c r="K3" s="54" t="s">
        <v>107</v>
      </c>
      <c r="L3" s="54" t="s">
        <v>108</v>
      </c>
      <c r="M3" s="54" t="s">
        <v>109</v>
      </c>
      <c r="N3" s="54" t="s">
        <v>110</v>
      </c>
      <c r="O3" s="54" t="s">
        <v>111</v>
      </c>
      <c r="P3" s="9" t="s">
        <v>113</v>
      </c>
    </row>
    <row r="4" spans="1:17" x14ac:dyDescent="0.3">
      <c r="A4" s="195" t="s">
        <v>99</v>
      </c>
      <c r="B4" s="195"/>
    </row>
    <row r="5" spans="1:17" x14ac:dyDescent="0.3">
      <c r="A5" s="195" t="s">
        <v>1</v>
      </c>
      <c r="B5" s="195"/>
    </row>
    <row r="6" spans="1:17" x14ac:dyDescent="0.3">
      <c r="A6" s="1"/>
      <c r="B6" s="94" t="s">
        <v>2</v>
      </c>
      <c r="P6" s="43">
        <f t="shared" ref="P6:P11" si="0">SUM(D6:O6)</f>
        <v>0</v>
      </c>
    </row>
    <row r="7" spans="1:17" x14ac:dyDescent="0.3">
      <c r="A7" s="1"/>
      <c r="B7" s="94" t="s">
        <v>204</v>
      </c>
      <c r="D7" s="43">
        <f>D1*15.87*31</f>
        <v>2459.85</v>
      </c>
      <c r="E7" s="43">
        <f>E1*15.87*28</f>
        <v>2221.7999999999997</v>
      </c>
      <c r="F7" s="43">
        <f>F1*15.87*31</f>
        <v>2459.85</v>
      </c>
      <c r="G7" s="43">
        <f>G1*15.87*30</f>
        <v>2380.5</v>
      </c>
      <c r="H7" s="43">
        <f>H1*15.87*31</f>
        <v>2459.85</v>
      </c>
      <c r="I7" s="43">
        <f>I1*15.87*30</f>
        <v>2380.5</v>
      </c>
      <c r="J7" s="43">
        <f t="shared" ref="J7:O7" si="1">J1*15.87*31</f>
        <v>2459.85</v>
      </c>
      <c r="K7" s="43">
        <f t="shared" si="1"/>
        <v>2459.85</v>
      </c>
      <c r="L7" s="43">
        <f>L1*15.87*30</f>
        <v>2380.5</v>
      </c>
      <c r="M7" s="43">
        <f t="shared" si="1"/>
        <v>2459.85</v>
      </c>
      <c r="N7" s="43">
        <f>N1*15.87*30</f>
        <v>2380.5</v>
      </c>
      <c r="O7" s="43">
        <f t="shared" si="1"/>
        <v>2459.85</v>
      </c>
      <c r="P7" s="43">
        <f t="shared" si="0"/>
        <v>28962.749999999996</v>
      </c>
    </row>
    <row r="8" spans="1:17" s="42" customFormat="1" x14ac:dyDescent="0.3">
      <c r="A8" s="1"/>
      <c r="B8" s="94" t="s">
        <v>205</v>
      </c>
      <c r="D8" s="43">
        <f>D2*48</f>
        <v>240</v>
      </c>
      <c r="E8" s="43">
        <f t="shared" ref="E8:O8" si="2">E2*48</f>
        <v>240</v>
      </c>
      <c r="F8" s="43">
        <f t="shared" si="2"/>
        <v>240</v>
      </c>
      <c r="G8" s="43">
        <f t="shared" si="2"/>
        <v>240</v>
      </c>
      <c r="H8" s="43">
        <f t="shared" si="2"/>
        <v>240</v>
      </c>
      <c r="I8" s="43">
        <f t="shared" si="2"/>
        <v>240</v>
      </c>
      <c r="J8" s="43">
        <f t="shared" si="2"/>
        <v>240</v>
      </c>
      <c r="K8" s="43">
        <f t="shared" si="2"/>
        <v>240</v>
      </c>
      <c r="L8" s="43">
        <f t="shared" si="2"/>
        <v>240</v>
      </c>
      <c r="M8" s="43">
        <f t="shared" si="2"/>
        <v>240</v>
      </c>
      <c r="N8" s="43">
        <f t="shared" si="2"/>
        <v>240</v>
      </c>
      <c r="O8" s="43">
        <f t="shared" si="2"/>
        <v>240</v>
      </c>
      <c r="P8" s="43">
        <f t="shared" si="0"/>
        <v>2880</v>
      </c>
    </row>
    <row r="9" spans="1:17" x14ac:dyDescent="0.3">
      <c r="A9" s="1"/>
      <c r="B9" s="94" t="s">
        <v>4</v>
      </c>
      <c r="P9" s="43">
        <f t="shared" si="0"/>
        <v>0</v>
      </c>
    </row>
    <row r="10" spans="1:17" s="42" customFormat="1" x14ac:dyDescent="0.3">
      <c r="A10" s="1"/>
      <c r="B10" s="94" t="s">
        <v>206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 t="shared" si="0"/>
        <v>0</v>
      </c>
    </row>
    <row r="11" spans="1:17" x14ac:dyDescent="0.3">
      <c r="A11" s="1"/>
      <c r="B11" s="94" t="s">
        <v>207</v>
      </c>
      <c r="D11" s="43">
        <v>0</v>
      </c>
      <c r="P11" s="43">
        <f t="shared" si="0"/>
        <v>0</v>
      </c>
    </row>
    <row r="12" spans="1:17" x14ac:dyDescent="0.3">
      <c r="A12" s="195" t="s">
        <v>6</v>
      </c>
      <c r="B12" s="195"/>
      <c r="D12" s="28">
        <f>SUM(D6:D11)</f>
        <v>2699.85</v>
      </c>
      <c r="E12" s="28">
        <f t="shared" ref="E12:P12" si="3">SUM(E6:E11)</f>
        <v>2461.7999999999997</v>
      </c>
      <c r="F12" s="28">
        <f t="shared" si="3"/>
        <v>2699.85</v>
      </c>
      <c r="G12" s="28">
        <f t="shared" si="3"/>
        <v>2620.5</v>
      </c>
      <c r="H12" s="28">
        <f t="shared" si="3"/>
        <v>2699.85</v>
      </c>
      <c r="I12" s="28">
        <f t="shared" si="3"/>
        <v>2620.5</v>
      </c>
      <c r="J12" s="28">
        <f t="shared" si="3"/>
        <v>2699.85</v>
      </c>
      <c r="K12" s="28">
        <f t="shared" si="3"/>
        <v>2699.85</v>
      </c>
      <c r="L12" s="28">
        <f t="shared" si="3"/>
        <v>2620.5</v>
      </c>
      <c r="M12" s="28">
        <f t="shared" si="3"/>
        <v>2699.85</v>
      </c>
      <c r="N12" s="28">
        <f t="shared" si="3"/>
        <v>2620.5</v>
      </c>
      <c r="O12" s="28">
        <f t="shared" si="3"/>
        <v>2699.85</v>
      </c>
      <c r="P12" s="28">
        <f t="shared" si="3"/>
        <v>31842.749999999996</v>
      </c>
      <c r="Q12" s="8">
        <f>P12-P6-P7-P9-P11</f>
        <v>2880</v>
      </c>
    </row>
    <row r="13" spans="1:17" x14ac:dyDescent="0.3">
      <c r="A13" s="195" t="s">
        <v>7</v>
      </c>
      <c r="B13" s="195"/>
    </row>
    <row r="14" spans="1:17" x14ac:dyDescent="0.3">
      <c r="A14" s="1"/>
      <c r="B14" s="97" t="s">
        <v>8</v>
      </c>
      <c r="P14" s="43">
        <f>SUM(D14:O14)</f>
        <v>0</v>
      </c>
    </row>
    <row r="15" spans="1:17" x14ac:dyDescent="0.3">
      <c r="A15" s="1"/>
      <c r="B15" s="97" t="s">
        <v>9</v>
      </c>
      <c r="P15" s="43">
        <f>SUM(D15:O15)</f>
        <v>0</v>
      </c>
    </row>
    <row r="16" spans="1:17" x14ac:dyDescent="0.3">
      <c r="A16" s="1"/>
      <c r="B16" s="97" t="s">
        <v>219</v>
      </c>
      <c r="D16" s="43">
        <v>0</v>
      </c>
      <c r="P16" s="43">
        <f>SUM(D16:O16)</f>
        <v>0</v>
      </c>
    </row>
    <row r="17" spans="1:17" x14ac:dyDescent="0.3">
      <c r="A17" s="1"/>
      <c r="B17" s="66" t="s">
        <v>16</v>
      </c>
      <c r="P17" s="43">
        <f>SUM(D17:O17)</f>
        <v>0</v>
      </c>
    </row>
    <row r="18" spans="1:17" x14ac:dyDescent="0.3">
      <c r="A18" s="195" t="s">
        <v>10</v>
      </c>
      <c r="B18" s="195"/>
      <c r="D18" s="28">
        <f>SUM(D14:D17)</f>
        <v>0</v>
      </c>
      <c r="E18" s="28">
        <f t="shared" ref="E18:P18" si="4">SUM(E14:E17)</f>
        <v>0</v>
      </c>
      <c r="F18" s="28">
        <f t="shared" si="4"/>
        <v>0</v>
      </c>
      <c r="G18" s="28">
        <f t="shared" si="4"/>
        <v>0</v>
      </c>
      <c r="H18" s="28">
        <f t="shared" si="4"/>
        <v>0</v>
      </c>
      <c r="I18" s="28">
        <f t="shared" si="4"/>
        <v>0</v>
      </c>
      <c r="J18" s="28">
        <f t="shared" si="4"/>
        <v>0</v>
      </c>
      <c r="K18" s="28">
        <f t="shared" si="4"/>
        <v>0</v>
      </c>
      <c r="L18" s="28">
        <f t="shared" si="4"/>
        <v>0</v>
      </c>
      <c r="M18" s="28">
        <f t="shared" si="4"/>
        <v>0</v>
      </c>
      <c r="N18" s="28">
        <f t="shared" si="4"/>
        <v>0</v>
      </c>
      <c r="O18" s="28">
        <f t="shared" si="4"/>
        <v>0</v>
      </c>
      <c r="P18" s="28">
        <f t="shared" si="4"/>
        <v>0</v>
      </c>
      <c r="Q18" s="8">
        <f>P18-P14-P15-P16-P17</f>
        <v>0</v>
      </c>
    </row>
    <row r="19" spans="1:17" x14ac:dyDescent="0.3">
      <c r="A19" s="195" t="s">
        <v>11</v>
      </c>
      <c r="B19" s="195"/>
    </row>
    <row r="20" spans="1:17" x14ac:dyDescent="0.3">
      <c r="A20" s="1"/>
      <c r="B20" s="2" t="s">
        <v>12</v>
      </c>
      <c r="P20" s="43">
        <f t="shared" ref="P20:P25" si="5">SUM(D20:O20)</f>
        <v>0</v>
      </c>
    </row>
    <row r="21" spans="1:17" x14ac:dyDescent="0.3">
      <c r="A21" s="1"/>
      <c r="B21" s="2" t="s">
        <v>96</v>
      </c>
      <c r="P21" s="43">
        <f t="shared" si="5"/>
        <v>0</v>
      </c>
    </row>
    <row r="22" spans="1:17" x14ac:dyDescent="0.3">
      <c r="A22" s="1"/>
      <c r="B22" s="2" t="s">
        <v>97</v>
      </c>
      <c r="P22" s="43">
        <f t="shared" si="5"/>
        <v>0</v>
      </c>
    </row>
    <row r="23" spans="1:17" x14ac:dyDescent="0.3">
      <c r="A23" s="1"/>
      <c r="B23" s="2" t="s">
        <v>13</v>
      </c>
      <c r="P23" s="43">
        <f t="shared" si="5"/>
        <v>0</v>
      </c>
    </row>
    <row r="24" spans="1:17" x14ac:dyDescent="0.3">
      <c r="A24" s="1"/>
      <c r="B24" s="2" t="s">
        <v>14</v>
      </c>
      <c r="P24" s="43">
        <f t="shared" si="5"/>
        <v>0</v>
      </c>
    </row>
    <row r="25" spans="1:17" x14ac:dyDescent="0.3">
      <c r="A25" s="1"/>
      <c r="B25" s="1"/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f t="shared" si="5"/>
        <v>0</v>
      </c>
    </row>
    <row r="26" spans="1:17" x14ac:dyDescent="0.3">
      <c r="A26" s="195" t="s">
        <v>15</v>
      </c>
      <c r="B26" s="195"/>
      <c r="D26" s="28">
        <f>SUM(D20:D25)</f>
        <v>0</v>
      </c>
      <c r="E26" s="28">
        <f t="shared" ref="E26:P26" si="6">SUM(E20:E25)</f>
        <v>0</v>
      </c>
      <c r="F26" s="28">
        <f t="shared" si="6"/>
        <v>0</v>
      </c>
      <c r="G26" s="28">
        <f t="shared" si="6"/>
        <v>0</v>
      </c>
      <c r="H26" s="28">
        <f t="shared" si="6"/>
        <v>0</v>
      </c>
      <c r="I26" s="28">
        <f t="shared" si="6"/>
        <v>0</v>
      </c>
      <c r="J26" s="28">
        <f t="shared" si="6"/>
        <v>0</v>
      </c>
      <c r="K26" s="28">
        <f t="shared" si="6"/>
        <v>0</v>
      </c>
      <c r="L26" s="28">
        <f t="shared" si="6"/>
        <v>0</v>
      </c>
      <c r="M26" s="28">
        <f t="shared" si="6"/>
        <v>0</v>
      </c>
      <c r="N26" s="28">
        <f t="shared" si="6"/>
        <v>0</v>
      </c>
      <c r="O26" s="28">
        <f t="shared" si="6"/>
        <v>0</v>
      </c>
      <c r="P26" s="28">
        <f t="shared" si="6"/>
        <v>0</v>
      </c>
      <c r="Q26" s="8">
        <f>SUM(P20:P25)-P26</f>
        <v>0</v>
      </c>
    </row>
    <row r="27" spans="1:17" x14ac:dyDescent="0.3">
      <c r="A27" s="195" t="s">
        <v>16</v>
      </c>
      <c r="B27" s="195"/>
    </row>
    <row r="28" spans="1:17" x14ac:dyDescent="0.3">
      <c r="A28" s="2" t="s">
        <v>17</v>
      </c>
      <c r="B28" s="2" t="s">
        <v>18</v>
      </c>
      <c r="P28" s="43">
        <f>SUM(D28:O28)</f>
        <v>0</v>
      </c>
    </row>
    <row r="29" spans="1:17" x14ac:dyDescent="0.3">
      <c r="A29" s="2" t="s">
        <v>17</v>
      </c>
      <c r="B29" s="2" t="s">
        <v>19</v>
      </c>
      <c r="P29" s="43">
        <f>SUM(D29:O29)</f>
        <v>0</v>
      </c>
    </row>
    <row r="30" spans="1:17" x14ac:dyDescent="0.3">
      <c r="A30" s="2" t="s">
        <v>17</v>
      </c>
      <c r="B30" s="2" t="s">
        <v>20</v>
      </c>
      <c r="P30" s="43">
        <f>SUM(D30:O30)</f>
        <v>0</v>
      </c>
    </row>
    <row r="31" spans="1:17" x14ac:dyDescent="0.3">
      <c r="A31" s="2" t="s">
        <v>17</v>
      </c>
      <c r="B31" s="2" t="s">
        <v>21</v>
      </c>
      <c r="P31" s="43">
        <f>SUM(D31:O31)</f>
        <v>0</v>
      </c>
    </row>
    <row r="32" spans="1:17" x14ac:dyDescent="0.3">
      <c r="A32" s="1"/>
      <c r="B32" s="1"/>
      <c r="D32" s="30">
        <f>D12+D18+D26+D28+D29+D30+D31</f>
        <v>2699.85</v>
      </c>
      <c r="E32" s="30">
        <f t="shared" ref="E32:P32" si="7">E12+E18+E26+E28+E29+E30+E31</f>
        <v>2461.7999999999997</v>
      </c>
      <c r="F32" s="30">
        <f t="shared" si="7"/>
        <v>2699.85</v>
      </c>
      <c r="G32" s="30">
        <f t="shared" si="7"/>
        <v>2620.5</v>
      </c>
      <c r="H32" s="30">
        <f t="shared" si="7"/>
        <v>2699.85</v>
      </c>
      <c r="I32" s="30">
        <f t="shared" si="7"/>
        <v>2620.5</v>
      </c>
      <c r="J32" s="30">
        <f t="shared" si="7"/>
        <v>2699.85</v>
      </c>
      <c r="K32" s="30">
        <f t="shared" si="7"/>
        <v>2699.85</v>
      </c>
      <c r="L32" s="30">
        <f t="shared" si="7"/>
        <v>2620.5</v>
      </c>
      <c r="M32" s="30">
        <f t="shared" si="7"/>
        <v>2699.85</v>
      </c>
      <c r="N32" s="30">
        <f t="shared" si="7"/>
        <v>2620.5</v>
      </c>
      <c r="O32" s="30">
        <f t="shared" si="7"/>
        <v>2699.85</v>
      </c>
      <c r="P32" s="30">
        <f t="shared" si="7"/>
        <v>31842.749999999996</v>
      </c>
      <c r="Q32" s="8">
        <f>SUM(P28:P31)*P32</f>
        <v>0</v>
      </c>
    </row>
    <row r="33" spans="1:17" x14ac:dyDescent="0.3">
      <c r="A33" s="1"/>
      <c r="B33" s="1"/>
    </row>
    <row r="34" spans="1:17" x14ac:dyDescent="0.3">
      <c r="A34" s="195" t="s">
        <v>22</v>
      </c>
      <c r="B34" s="195"/>
    </row>
    <row r="35" spans="1:17" x14ac:dyDescent="0.3">
      <c r="A35" s="1"/>
      <c r="B35" s="2" t="s">
        <v>23</v>
      </c>
      <c r="P35" s="43">
        <f>SUM(D35:O35)</f>
        <v>0</v>
      </c>
    </row>
    <row r="36" spans="1:17" x14ac:dyDescent="0.3">
      <c r="A36" s="1"/>
      <c r="B36" s="2" t="s">
        <v>24</v>
      </c>
      <c r="P36" s="43">
        <f t="shared" ref="P36:P42" si="8">SUM(D36:O36)</f>
        <v>0</v>
      </c>
    </row>
    <row r="37" spans="1:17" x14ac:dyDescent="0.3">
      <c r="A37" s="1"/>
      <c r="B37" s="2" t="s">
        <v>25</v>
      </c>
      <c r="P37" s="43">
        <f t="shared" si="8"/>
        <v>0</v>
      </c>
    </row>
    <row r="38" spans="1:17" x14ac:dyDescent="0.3">
      <c r="A38" s="1"/>
      <c r="B38" s="2" t="s">
        <v>26</v>
      </c>
      <c r="P38" s="43">
        <f t="shared" si="8"/>
        <v>0</v>
      </c>
    </row>
    <row r="39" spans="1:17" x14ac:dyDescent="0.3">
      <c r="A39" s="1"/>
      <c r="B39" s="2" t="s">
        <v>27</v>
      </c>
      <c r="P39" s="43">
        <f t="shared" si="8"/>
        <v>0</v>
      </c>
    </row>
    <row r="40" spans="1:17" x14ac:dyDescent="0.3">
      <c r="A40" s="1"/>
      <c r="B40" s="2" t="s">
        <v>28</v>
      </c>
      <c r="P40" s="43">
        <f t="shared" si="8"/>
        <v>0</v>
      </c>
    </row>
    <row r="41" spans="1:17" x14ac:dyDescent="0.3">
      <c r="A41" s="1"/>
      <c r="B41" s="2" t="s">
        <v>29</v>
      </c>
      <c r="P41" s="43">
        <f t="shared" si="8"/>
        <v>0</v>
      </c>
    </row>
    <row r="42" spans="1:17" x14ac:dyDescent="0.3">
      <c r="A42" s="1"/>
      <c r="B42" s="2" t="s">
        <v>30</v>
      </c>
      <c r="P42" s="43">
        <f t="shared" si="8"/>
        <v>0</v>
      </c>
    </row>
    <row r="43" spans="1:17" x14ac:dyDescent="0.3">
      <c r="A43" s="195" t="s">
        <v>31</v>
      </c>
      <c r="B43" s="195"/>
      <c r="D43" s="28">
        <f>SUM(D35:D42)</f>
        <v>0</v>
      </c>
      <c r="E43" s="28">
        <f t="shared" ref="E43:P43" si="9">SUM(E35:E42)</f>
        <v>0</v>
      </c>
      <c r="F43" s="28">
        <f t="shared" si="9"/>
        <v>0</v>
      </c>
      <c r="G43" s="28">
        <f t="shared" si="9"/>
        <v>0</v>
      </c>
      <c r="H43" s="28">
        <f t="shared" si="9"/>
        <v>0</v>
      </c>
      <c r="I43" s="28">
        <f t="shared" si="9"/>
        <v>0</v>
      </c>
      <c r="J43" s="28">
        <f t="shared" si="9"/>
        <v>0</v>
      </c>
      <c r="K43" s="28">
        <f t="shared" si="9"/>
        <v>0</v>
      </c>
      <c r="L43" s="28">
        <f t="shared" si="9"/>
        <v>0</v>
      </c>
      <c r="M43" s="28">
        <f t="shared" si="9"/>
        <v>0</v>
      </c>
      <c r="N43" s="28">
        <f t="shared" si="9"/>
        <v>0</v>
      </c>
      <c r="O43" s="28">
        <f t="shared" si="9"/>
        <v>0</v>
      </c>
      <c r="P43" s="28">
        <f t="shared" si="9"/>
        <v>0</v>
      </c>
      <c r="Q43" s="8">
        <f>SUM(P35:P42)</f>
        <v>0</v>
      </c>
    </row>
    <row r="44" spans="1:17" x14ac:dyDescent="0.3">
      <c r="A44" s="195" t="s">
        <v>32</v>
      </c>
      <c r="B44" s="195"/>
    </row>
    <row r="45" spans="1:17" x14ac:dyDescent="0.3">
      <c r="A45" s="1"/>
      <c r="B45" s="2" t="s">
        <v>33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f t="shared" ref="P45:P52" si="10">SUM(D45:O45)</f>
        <v>0</v>
      </c>
    </row>
    <row r="46" spans="1:17" x14ac:dyDescent="0.3">
      <c r="A46" s="1"/>
      <c r="B46" s="2" t="s">
        <v>34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f t="shared" si="10"/>
        <v>0</v>
      </c>
    </row>
    <row r="47" spans="1:17" x14ac:dyDescent="0.3">
      <c r="A47" s="1"/>
      <c r="B47" s="2" t="s">
        <v>35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f t="shared" si="10"/>
        <v>0</v>
      </c>
    </row>
    <row r="48" spans="1:17" x14ac:dyDescent="0.3">
      <c r="A48" s="1"/>
      <c r="B48" s="2" t="s">
        <v>36</v>
      </c>
      <c r="D48" s="43">
        <v>10</v>
      </c>
      <c r="E48" s="43">
        <v>10</v>
      </c>
      <c r="F48" s="43">
        <v>10</v>
      </c>
      <c r="G48" s="43">
        <v>10</v>
      </c>
      <c r="H48" s="43">
        <v>10</v>
      </c>
      <c r="I48" s="43">
        <v>10</v>
      </c>
      <c r="J48" s="43">
        <v>10</v>
      </c>
      <c r="K48" s="43">
        <v>10</v>
      </c>
      <c r="L48" s="43">
        <v>10</v>
      </c>
      <c r="M48" s="43">
        <v>10</v>
      </c>
      <c r="N48" s="43">
        <v>10</v>
      </c>
      <c r="O48" s="43">
        <v>10</v>
      </c>
      <c r="P48" s="43">
        <f t="shared" si="10"/>
        <v>120</v>
      </c>
    </row>
    <row r="49" spans="1:17" x14ac:dyDescent="0.3">
      <c r="A49" s="1"/>
      <c r="B49" s="2" t="s">
        <v>37</v>
      </c>
      <c r="D49" s="43">
        <v>10</v>
      </c>
      <c r="E49" s="43">
        <v>10</v>
      </c>
      <c r="F49" s="43">
        <v>10</v>
      </c>
      <c r="G49" s="43">
        <v>10</v>
      </c>
      <c r="H49" s="43">
        <v>10</v>
      </c>
      <c r="I49" s="43">
        <v>10</v>
      </c>
      <c r="J49" s="43">
        <v>10</v>
      </c>
      <c r="K49" s="43">
        <v>10</v>
      </c>
      <c r="L49" s="43">
        <v>10</v>
      </c>
      <c r="M49" s="43">
        <v>10</v>
      </c>
      <c r="N49" s="43">
        <v>10</v>
      </c>
      <c r="O49" s="43">
        <v>10</v>
      </c>
      <c r="P49" s="43">
        <f t="shared" si="10"/>
        <v>120</v>
      </c>
    </row>
    <row r="50" spans="1:17" s="42" customFormat="1" x14ac:dyDescent="0.3">
      <c r="A50" s="1"/>
      <c r="B50" s="93" t="s">
        <v>194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</row>
    <row r="51" spans="1:17" x14ac:dyDescent="0.3">
      <c r="A51" s="1"/>
      <c r="B51" s="2" t="s">
        <v>38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f t="shared" si="10"/>
        <v>0</v>
      </c>
    </row>
    <row r="52" spans="1:17" x14ac:dyDescent="0.3">
      <c r="A52" s="1"/>
      <c r="B52" s="2" t="s">
        <v>39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f t="shared" si="10"/>
        <v>0</v>
      </c>
    </row>
    <row r="53" spans="1:17" x14ac:dyDescent="0.3">
      <c r="A53" s="195" t="s">
        <v>40</v>
      </c>
      <c r="B53" s="195"/>
      <c r="D53" s="28">
        <f>SUM(D45:D52)</f>
        <v>20</v>
      </c>
      <c r="E53" s="28">
        <f t="shared" ref="E53:P53" si="11">SUM(E45:E52)</f>
        <v>20</v>
      </c>
      <c r="F53" s="28">
        <f t="shared" si="11"/>
        <v>20</v>
      </c>
      <c r="G53" s="28">
        <f t="shared" si="11"/>
        <v>20</v>
      </c>
      <c r="H53" s="28">
        <f t="shared" si="11"/>
        <v>20</v>
      </c>
      <c r="I53" s="28">
        <f t="shared" si="11"/>
        <v>20</v>
      </c>
      <c r="J53" s="28">
        <f t="shared" si="11"/>
        <v>20</v>
      </c>
      <c r="K53" s="28">
        <f t="shared" si="11"/>
        <v>20</v>
      </c>
      <c r="L53" s="28">
        <f t="shared" si="11"/>
        <v>20</v>
      </c>
      <c r="M53" s="28">
        <f t="shared" si="11"/>
        <v>20</v>
      </c>
      <c r="N53" s="28">
        <f t="shared" si="11"/>
        <v>20</v>
      </c>
      <c r="O53" s="28">
        <f t="shared" si="11"/>
        <v>20</v>
      </c>
      <c r="P53" s="28">
        <f t="shared" si="11"/>
        <v>240</v>
      </c>
      <c r="Q53" s="8">
        <f>SUM(P52)-P53</f>
        <v>-240</v>
      </c>
    </row>
    <row r="54" spans="1:17" x14ac:dyDescent="0.3">
      <c r="A54" s="195" t="s">
        <v>41</v>
      </c>
      <c r="B54" s="195"/>
    </row>
    <row r="55" spans="1:17" x14ac:dyDescent="0.3">
      <c r="A55" s="1"/>
      <c r="B55" s="2" t="s">
        <v>42</v>
      </c>
      <c r="P55" s="43">
        <f t="shared" ref="P55:P83" si="12">SUM(D55:O55)</f>
        <v>0</v>
      </c>
    </row>
    <row r="56" spans="1:17" x14ac:dyDescent="0.3">
      <c r="A56" s="1"/>
      <c r="B56" s="2" t="s">
        <v>43</v>
      </c>
      <c r="P56" s="43">
        <f t="shared" si="12"/>
        <v>0</v>
      </c>
    </row>
    <row r="57" spans="1:17" x14ac:dyDescent="0.3">
      <c r="A57" s="1"/>
      <c r="B57" s="2" t="s">
        <v>44</v>
      </c>
      <c r="P57" s="43">
        <f t="shared" si="12"/>
        <v>0</v>
      </c>
    </row>
    <row r="58" spans="1:17" x14ac:dyDescent="0.3">
      <c r="A58" s="1"/>
      <c r="B58" s="2" t="s">
        <v>45</v>
      </c>
      <c r="P58" s="43">
        <f t="shared" si="12"/>
        <v>0</v>
      </c>
    </row>
    <row r="59" spans="1:17" x14ac:dyDescent="0.3">
      <c r="A59" s="1"/>
      <c r="B59" s="2" t="s">
        <v>46</v>
      </c>
      <c r="P59" s="43">
        <f t="shared" si="12"/>
        <v>0</v>
      </c>
    </row>
    <row r="60" spans="1:17" x14ac:dyDescent="0.3">
      <c r="A60" s="1"/>
      <c r="B60" s="2" t="s">
        <v>47</v>
      </c>
      <c r="P60" s="43">
        <f t="shared" si="12"/>
        <v>0</v>
      </c>
    </row>
    <row r="61" spans="1:17" x14ac:dyDescent="0.3">
      <c r="A61" s="1"/>
      <c r="B61" s="2" t="s">
        <v>48</v>
      </c>
      <c r="P61" s="43">
        <f t="shared" si="12"/>
        <v>0</v>
      </c>
    </row>
    <row r="62" spans="1:17" x14ac:dyDescent="0.3">
      <c r="A62" s="1"/>
      <c r="B62" s="2" t="s">
        <v>49</v>
      </c>
      <c r="P62" s="43">
        <f t="shared" si="12"/>
        <v>0</v>
      </c>
    </row>
    <row r="63" spans="1:17" x14ac:dyDescent="0.3">
      <c r="A63" s="1"/>
      <c r="B63" s="2" t="s">
        <v>50</v>
      </c>
      <c r="P63" s="43">
        <f t="shared" si="12"/>
        <v>0</v>
      </c>
    </row>
    <row r="64" spans="1:17" x14ac:dyDescent="0.3">
      <c r="A64" s="1"/>
      <c r="B64" s="2" t="s">
        <v>51</v>
      </c>
      <c r="P64" s="43">
        <f t="shared" si="12"/>
        <v>0</v>
      </c>
    </row>
    <row r="65" spans="1:17" x14ac:dyDescent="0.3">
      <c r="A65" s="1"/>
      <c r="B65" s="2" t="s">
        <v>52</v>
      </c>
      <c r="P65" s="43">
        <f t="shared" si="12"/>
        <v>0</v>
      </c>
    </row>
    <row r="66" spans="1:17" x14ac:dyDescent="0.3">
      <c r="A66" s="1"/>
      <c r="B66" s="2" t="s">
        <v>53</v>
      </c>
      <c r="D66" s="43">
        <v>15</v>
      </c>
      <c r="E66" s="43">
        <v>15</v>
      </c>
      <c r="F66" s="43">
        <v>15</v>
      </c>
      <c r="G66" s="43">
        <v>15</v>
      </c>
      <c r="H66" s="43">
        <v>15</v>
      </c>
      <c r="I66" s="43">
        <v>15</v>
      </c>
      <c r="J66" s="43">
        <v>15</v>
      </c>
      <c r="K66" s="43">
        <v>15</v>
      </c>
      <c r="L66" s="43">
        <v>15</v>
      </c>
      <c r="M66" s="43">
        <v>15</v>
      </c>
      <c r="N66" s="43">
        <v>15</v>
      </c>
      <c r="O66" s="43">
        <v>15</v>
      </c>
      <c r="P66" s="43">
        <f t="shared" si="12"/>
        <v>180</v>
      </c>
    </row>
    <row r="67" spans="1:17" x14ac:dyDescent="0.3">
      <c r="A67" s="1"/>
      <c r="B67" s="2" t="s">
        <v>54</v>
      </c>
      <c r="P67" s="43">
        <f t="shared" si="12"/>
        <v>0</v>
      </c>
    </row>
    <row r="68" spans="1:17" x14ac:dyDescent="0.3">
      <c r="A68" s="1"/>
      <c r="B68" s="2" t="s">
        <v>55</v>
      </c>
      <c r="P68" s="43">
        <f t="shared" si="12"/>
        <v>0</v>
      </c>
    </row>
    <row r="69" spans="1:17" x14ac:dyDescent="0.3">
      <c r="A69" s="1"/>
      <c r="B69" s="2" t="s">
        <v>56</v>
      </c>
      <c r="P69" s="43">
        <f t="shared" si="12"/>
        <v>0</v>
      </c>
    </row>
    <row r="70" spans="1:17" x14ac:dyDescent="0.3">
      <c r="A70" s="1"/>
      <c r="B70" s="2" t="s">
        <v>57</v>
      </c>
      <c r="D70" s="43">
        <v>45</v>
      </c>
      <c r="E70" s="43">
        <v>45</v>
      </c>
      <c r="F70" s="43">
        <v>45</v>
      </c>
      <c r="G70" s="43">
        <v>45</v>
      </c>
      <c r="H70" s="43">
        <v>45</v>
      </c>
      <c r="I70" s="43">
        <v>45</v>
      </c>
      <c r="J70" s="43">
        <v>45</v>
      </c>
      <c r="K70" s="43">
        <v>45</v>
      </c>
      <c r="L70" s="43">
        <v>45</v>
      </c>
      <c r="M70" s="43">
        <v>45</v>
      </c>
      <c r="N70" s="43">
        <v>45</v>
      </c>
      <c r="O70" s="43">
        <v>45</v>
      </c>
      <c r="P70" s="43">
        <f t="shared" si="12"/>
        <v>540</v>
      </c>
    </row>
    <row r="71" spans="1:17" x14ac:dyDescent="0.3">
      <c r="A71" s="1"/>
      <c r="B71" s="2" t="s">
        <v>58</v>
      </c>
      <c r="P71" s="43">
        <f t="shared" si="12"/>
        <v>0</v>
      </c>
    </row>
    <row r="72" spans="1:17" x14ac:dyDescent="0.3">
      <c r="A72" s="1"/>
      <c r="B72" s="2" t="s">
        <v>59</v>
      </c>
      <c r="P72" s="43">
        <f t="shared" si="12"/>
        <v>0</v>
      </c>
    </row>
    <row r="73" spans="1:17" x14ac:dyDescent="0.3">
      <c r="A73" s="1"/>
      <c r="B73" s="2" t="s">
        <v>60</v>
      </c>
      <c r="P73" s="43">
        <f t="shared" si="12"/>
        <v>0</v>
      </c>
    </row>
    <row r="74" spans="1:17" x14ac:dyDescent="0.3">
      <c r="A74" s="1"/>
      <c r="B74" s="2" t="s">
        <v>61</v>
      </c>
      <c r="P74" s="43">
        <f t="shared" si="12"/>
        <v>0</v>
      </c>
    </row>
    <row r="75" spans="1:17" x14ac:dyDescent="0.3">
      <c r="A75" s="1"/>
      <c r="B75" s="2" t="s">
        <v>62</v>
      </c>
      <c r="P75" s="43">
        <f t="shared" si="12"/>
        <v>0</v>
      </c>
    </row>
    <row r="76" spans="1:17" x14ac:dyDescent="0.3">
      <c r="A76" s="1"/>
      <c r="B76" s="2" t="s">
        <v>63</v>
      </c>
      <c r="P76" s="43">
        <f t="shared" si="12"/>
        <v>0</v>
      </c>
    </row>
    <row r="77" spans="1:17" x14ac:dyDescent="0.3">
      <c r="A77" s="2" t="s">
        <v>17</v>
      </c>
      <c r="B77" s="2" t="s">
        <v>64</v>
      </c>
      <c r="P77" s="43">
        <f t="shared" si="12"/>
        <v>0</v>
      </c>
    </row>
    <row r="78" spans="1:17" x14ac:dyDescent="0.3">
      <c r="A78" s="1"/>
      <c r="B78" s="2" t="s">
        <v>65</v>
      </c>
      <c r="P78" s="86">
        <f t="shared" si="12"/>
        <v>0</v>
      </c>
      <c r="Q78" s="87" t="s">
        <v>189</v>
      </c>
    </row>
    <row r="79" spans="1:17" x14ac:dyDescent="0.3">
      <c r="A79" s="1"/>
      <c r="B79" s="1"/>
      <c r="P79" s="43">
        <f t="shared" si="12"/>
        <v>0</v>
      </c>
    </row>
    <row r="80" spans="1:17" x14ac:dyDescent="0.3">
      <c r="A80" s="1"/>
      <c r="B80" s="2"/>
      <c r="P80" s="43">
        <f t="shared" si="12"/>
        <v>0</v>
      </c>
    </row>
    <row r="81" spans="1:17" x14ac:dyDescent="0.3">
      <c r="A81" s="1"/>
      <c r="B81" s="2"/>
      <c r="P81" s="43">
        <f t="shared" si="12"/>
        <v>0</v>
      </c>
    </row>
    <row r="82" spans="1:17" x14ac:dyDescent="0.3">
      <c r="A82" s="1"/>
      <c r="B82" s="2"/>
      <c r="P82" s="43">
        <f t="shared" si="12"/>
        <v>0</v>
      </c>
    </row>
    <row r="83" spans="1:17" x14ac:dyDescent="0.3">
      <c r="A83" s="1"/>
      <c r="B83" s="2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f t="shared" si="12"/>
        <v>0</v>
      </c>
    </row>
    <row r="84" spans="1:17" x14ac:dyDescent="0.3">
      <c r="A84" s="195" t="s">
        <v>66</v>
      </c>
      <c r="B84" s="195"/>
      <c r="D84" s="28">
        <f>SUM(D56:D83)</f>
        <v>60</v>
      </c>
      <c r="E84" s="28">
        <f t="shared" ref="E84:P84" si="13">SUM(E56:E83)</f>
        <v>60</v>
      </c>
      <c r="F84" s="28">
        <f t="shared" si="13"/>
        <v>60</v>
      </c>
      <c r="G84" s="28">
        <f t="shared" si="13"/>
        <v>60</v>
      </c>
      <c r="H84" s="28">
        <f t="shared" si="13"/>
        <v>60</v>
      </c>
      <c r="I84" s="28">
        <f t="shared" si="13"/>
        <v>60</v>
      </c>
      <c r="J84" s="28">
        <f t="shared" si="13"/>
        <v>60</v>
      </c>
      <c r="K84" s="28">
        <f t="shared" si="13"/>
        <v>60</v>
      </c>
      <c r="L84" s="28">
        <f t="shared" si="13"/>
        <v>60</v>
      </c>
      <c r="M84" s="28">
        <f t="shared" si="13"/>
        <v>60</v>
      </c>
      <c r="N84" s="28">
        <f t="shared" si="13"/>
        <v>60</v>
      </c>
      <c r="O84" s="28">
        <f t="shared" si="13"/>
        <v>60</v>
      </c>
      <c r="P84" s="28">
        <f t="shared" si="13"/>
        <v>720</v>
      </c>
      <c r="Q84" s="8">
        <f>SUM(P55:P83)-P84</f>
        <v>0</v>
      </c>
    </row>
    <row r="85" spans="1:17" x14ac:dyDescent="0.3">
      <c r="A85" s="195" t="s">
        <v>67</v>
      </c>
      <c r="B85" s="195"/>
    </row>
    <row r="86" spans="1:17" x14ac:dyDescent="0.3">
      <c r="A86" s="1"/>
      <c r="B86" s="2" t="s">
        <v>68</v>
      </c>
      <c r="P86" s="43">
        <f t="shared" ref="P86:P104" si="14">SUM(D86:O86)</f>
        <v>0</v>
      </c>
    </row>
    <row r="87" spans="1:17" x14ac:dyDescent="0.3">
      <c r="A87" s="1"/>
      <c r="B87" s="2" t="s">
        <v>69</v>
      </c>
      <c r="P87" s="43">
        <f t="shared" si="14"/>
        <v>0</v>
      </c>
    </row>
    <row r="88" spans="1:17" x14ac:dyDescent="0.3">
      <c r="A88" s="1"/>
      <c r="B88" s="2" t="s">
        <v>70</v>
      </c>
      <c r="P88" s="43">
        <f t="shared" si="14"/>
        <v>0</v>
      </c>
    </row>
    <row r="89" spans="1:17" x14ac:dyDescent="0.3">
      <c r="A89" s="1"/>
      <c r="B89" s="2" t="s">
        <v>71</v>
      </c>
      <c r="P89" s="43">
        <f t="shared" si="14"/>
        <v>0</v>
      </c>
    </row>
    <row r="90" spans="1:17" x14ac:dyDescent="0.3">
      <c r="A90" s="1"/>
      <c r="B90" s="2" t="s">
        <v>72</v>
      </c>
      <c r="P90" s="43">
        <f t="shared" si="14"/>
        <v>0</v>
      </c>
    </row>
    <row r="91" spans="1:17" x14ac:dyDescent="0.3">
      <c r="A91" s="1"/>
      <c r="B91" s="2" t="s">
        <v>73</v>
      </c>
      <c r="P91" s="43">
        <f t="shared" si="14"/>
        <v>0</v>
      </c>
    </row>
    <row r="92" spans="1:17" x14ac:dyDescent="0.3">
      <c r="A92" s="1"/>
      <c r="B92" s="2" t="s">
        <v>74</v>
      </c>
      <c r="P92" s="43">
        <f t="shared" si="14"/>
        <v>0</v>
      </c>
    </row>
    <row r="93" spans="1:17" x14ac:dyDescent="0.3">
      <c r="A93" s="1"/>
      <c r="B93" s="2" t="s">
        <v>75</v>
      </c>
      <c r="P93" s="43">
        <f t="shared" si="14"/>
        <v>0</v>
      </c>
    </row>
    <row r="94" spans="1:17" x14ac:dyDescent="0.3">
      <c r="A94" s="1"/>
      <c r="B94" s="2" t="s">
        <v>76</v>
      </c>
      <c r="P94" s="43">
        <f t="shared" si="14"/>
        <v>0</v>
      </c>
    </row>
    <row r="95" spans="1:17" x14ac:dyDescent="0.3">
      <c r="A95" s="1"/>
      <c r="B95" s="2" t="s">
        <v>77</v>
      </c>
      <c r="P95" s="43">
        <f t="shared" si="14"/>
        <v>0</v>
      </c>
    </row>
    <row r="96" spans="1:17" x14ac:dyDescent="0.3">
      <c r="A96" s="1"/>
      <c r="B96" s="2" t="s">
        <v>78</v>
      </c>
      <c r="P96" s="43">
        <f t="shared" si="14"/>
        <v>0</v>
      </c>
    </row>
    <row r="97" spans="1:17" x14ac:dyDescent="0.3">
      <c r="A97" s="1"/>
      <c r="B97" s="2" t="s">
        <v>79</v>
      </c>
      <c r="P97" s="43">
        <f t="shared" si="14"/>
        <v>0</v>
      </c>
    </row>
    <row r="98" spans="1:17" x14ac:dyDescent="0.3">
      <c r="A98" s="1"/>
      <c r="B98" s="2" t="s">
        <v>80</v>
      </c>
      <c r="P98" s="43">
        <f t="shared" si="14"/>
        <v>0</v>
      </c>
    </row>
    <row r="99" spans="1:17" x14ac:dyDescent="0.3">
      <c r="A99" s="1"/>
      <c r="B99" s="2" t="s">
        <v>81</v>
      </c>
      <c r="P99" s="43">
        <f t="shared" si="14"/>
        <v>0</v>
      </c>
    </row>
    <row r="100" spans="1:17" x14ac:dyDescent="0.3">
      <c r="A100" s="1"/>
      <c r="B100" s="2" t="s">
        <v>82</v>
      </c>
      <c r="P100" s="43">
        <f t="shared" si="14"/>
        <v>0</v>
      </c>
    </row>
    <row r="101" spans="1:17" x14ac:dyDescent="0.3">
      <c r="A101" s="1"/>
      <c r="B101" s="2" t="s">
        <v>83</v>
      </c>
      <c r="P101" s="43">
        <f t="shared" si="14"/>
        <v>0</v>
      </c>
    </row>
    <row r="102" spans="1:17" x14ac:dyDescent="0.3">
      <c r="A102" s="1"/>
      <c r="B102" s="1"/>
      <c r="P102" s="43">
        <f t="shared" si="14"/>
        <v>0</v>
      </c>
    </row>
    <row r="103" spans="1:17" x14ac:dyDescent="0.3">
      <c r="A103" s="1"/>
      <c r="B103" s="2"/>
      <c r="P103" s="43">
        <f t="shared" si="14"/>
        <v>0</v>
      </c>
    </row>
    <row r="104" spans="1:17" x14ac:dyDescent="0.3">
      <c r="A104" s="1"/>
      <c r="B104" s="2"/>
      <c r="P104" s="43">
        <f t="shared" si="14"/>
        <v>0</v>
      </c>
    </row>
    <row r="105" spans="1:17" x14ac:dyDescent="0.3">
      <c r="A105" s="195" t="s">
        <v>84</v>
      </c>
      <c r="B105" s="195"/>
      <c r="D105" s="30">
        <f>SUM(D86:D104)</f>
        <v>0</v>
      </c>
      <c r="E105" s="30">
        <f t="shared" ref="E105:P105" si="15">SUM(E86:E104)</f>
        <v>0</v>
      </c>
      <c r="F105" s="30">
        <f t="shared" si="15"/>
        <v>0</v>
      </c>
      <c r="G105" s="30">
        <f t="shared" si="15"/>
        <v>0</v>
      </c>
      <c r="H105" s="30">
        <f t="shared" si="15"/>
        <v>0</v>
      </c>
      <c r="I105" s="30">
        <f t="shared" si="15"/>
        <v>0</v>
      </c>
      <c r="J105" s="30">
        <f t="shared" si="15"/>
        <v>0</v>
      </c>
      <c r="K105" s="30">
        <f t="shared" si="15"/>
        <v>0</v>
      </c>
      <c r="L105" s="30">
        <f t="shared" si="15"/>
        <v>0</v>
      </c>
      <c r="M105" s="30">
        <f t="shared" si="15"/>
        <v>0</v>
      </c>
      <c r="N105" s="30">
        <f t="shared" si="15"/>
        <v>0</v>
      </c>
      <c r="O105" s="30">
        <f t="shared" si="15"/>
        <v>0</v>
      </c>
      <c r="P105" s="30">
        <f t="shared" si="15"/>
        <v>0</v>
      </c>
      <c r="Q105" s="8">
        <f>SUM(P86:P104)-P105</f>
        <v>0</v>
      </c>
    </row>
    <row r="106" spans="1:17" x14ac:dyDescent="0.3">
      <c r="A106" s="1"/>
      <c r="B106" s="2" t="s">
        <v>85</v>
      </c>
      <c r="D106" s="30">
        <f>D105+D84+D53+D43</f>
        <v>80</v>
      </c>
      <c r="E106" s="30">
        <f t="shared" ref="E106:P106" si="16">E105+E84+E53+E43</f>
        <v>80</v>
      </c>
      <c r="F106" s="30">
        <f t="shared" si="16"/>
        <v>80</v>
      </c>
      <c r="G106" s="30">
        <f t="shared" si="16"/>
        <v>80</v>
      </c>
      <c r="H106" s="30">
        <f t="shared" si="16"/>
        <v>80</v>
      </c>
      <c r="I106" s="30">
        <f t="shared" si="16"/>
        <v>80</v>
      </c>
      <c r="J106" s="30">
        <f t="shared" si="16"/>
        <v>80</v>
      </c>
      <c r="K106" s="30">
        <f t="shared" si="16"/>
        <v>80</v>
      </c>
      <c r="L106" s="30">
        <f t="shared" si="16"/>
        <v>80</v>
      </c>
      <c r="M106" s="30">
        <f t="shared" si="16"/>
        <v>80</v>
      </c>
      <c r="N106" s="30">
        <f t="shared" si="16"/>
        <v>80</v>
      </c>
      <c r="O106" s="30">
        <f t="shared" si="16"/>
        <v>80</v>
      </c>
      <c r="P106" s="30">
        <f t="shared" si="16"/>
        <v>960</v>
      </c>
    </row>
    <row r="107" spans="1:17" x14ac:dyDescent="0.3">
      <c r="A107" s="1"/>
      <c r="B107" s="2" t="s">
        <v>86</v>
      </c>
    </row>
    <row r="109" spans="1:17" ht="15" thickBot="1" x14ac:dyDescent="0.35">
      <c r="B109" t="s">
        <v>112</v>
      </c>
      <c r="D109" s="31">
        <f>D32-D106-D107</f>
        <v>2619.85</v>
      </c>
      <c r="E109" s="31">
        <f t="shared" ref="E109:P109" si="17">E32-E106-E107</f>
        <v>2381.7999999999997</v>
      </c>
      <c r="F109" s="31">
        <f t="shared" si="17"/>
        <v>2619.85</v>
      </c>
      <c r="G109" s="31">
        <f t="shared" si="17"/>
        <v>2540.5</v>
      </c>
      <c r="H109" s="31">
        <f t="shared" si="17"/>
        <v>2619.85</v>
      </c>
      <c r="I109" s="31">
        <f t="shared" si="17"/>
        <v>2540.5</v>
      </c>
      <c r="J109" s="31">
        <f t="shared" si="17"/>
        <v>2619.85</v>
      </c>
      <c r="K109" s="31">
        <f t="shared" si="17"/>
        <v>2619.85</v>
      </c>
      <c r="L109" s="31">
        <f t="shared" si="17"/>
        <v>2540.5</v>
      </c>
      <c r="M109" s="31">
        <f t="shared" si="17"/>
        <v>2619.85</v>
      </c>
      <c r="N109" s="31">
        <f t="shared" si="17"/>
        <v>2540.5</v>
      </c>
      <c r="O109" s="31">
        <f t="shared" si="17"/>
        <v>2619.85</v>
      </c>
      <c r="P109" s="31">
        <f t="shared" si="17"/>
        <v>30882.749999999996</v>
      </c>
    </row>
    <row r="110" spans="1:17" ht="15" thickTop="1" x14ac:dyDescent="0.3"/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10"/>
  <sheetViews>
    <sheetView topLeftCell="A18" workbookViewId="0">
      <selection activeCell="D52" sqref="D52:O52"/>
    </sheetView>
  </sheetViews>
  <sheetFormatPr defaultRowHeight="14.4" x14ac:dyDescent="0.3"/>
  <sheetData>
    <row r="1" spans="1:16" x14ac:dyDescent="0.3">
      <c r="A1" s="42"/>
      <c r="B1" s="42"/>
      <c r="C1" s="42" t="s">
        <v>192</v>
      </c>
      <c r="D1" s="43">
        <v>8</v>
      </c>
      <c r="E1" s="43">
        <v>8</v>
      </c>
      <c r="F1" s="43">
        <v>8</v>
      </c>
      <c r="G1" s="43">
        <v>8</v>
      </c>
      <c r="H1" s="43">
        <v>8</v>
      </c>
      <c r="I1" s="43">
        <v>8</v>
      </c>
      <c r="J1" s="43">
        <v>8</v>
      </c>
      <c r="K1" s="43">
        <v>8</v>
      </c>
      <c r="L1" s="43">
        <v>8</v>
      </c>
      <c r="M1" s="43">
        <v>8</v>
      </c>
      <c r="N1" s="43">
        <v>8</v>
      </c>
      <c r="O1" s="43">
        <v>8</v>
      </c>
      <c r="P1" s="43"/>
    </row>
    <row r="2" spans="1:16" x14ac:dyDescent="0.3">
      <c r="A2" s="42"/>
      <c r="B2" s="42"/>
      <c r="C2" s="43" t="s">
        <v>191</v>
      </c>
      <c r="D2" s="43">
        <v>8</v>
      </c>
      <c r="E2" s="43">
        <v>8</v>
      </c>
      <c r="F2" s="43">
        <v>8</v>
      </c>
      <c r="G2" s="43">
        <v>8</v>
      </c>
      <c r="H2" s="43">
        <v>8</v>
      </c>
      <c r="I2" s="43">
        <v>8</v>
      </c>
      <c r="J2" s="43">
        <v>8</v>
      </c>
      <c r="K2" s="43">
        <v>8</v>
      </c>
      <c r="L2" s="43">
        <v>8</v>
      </c>
      <c r="M2" s="43">
        <v>8</v>
      </c>
      <c r="N2" s="43">
        <v>8</v>
      </c>
      <c r="O2" s="43">
        <v>8</v>
      </c>
      <c r="P2" s="43"/>
    </row>
    <row r="3" spans="1:16" x14ac:dyDescent="0.3">
      <c r="A3" s="42"/>
      <c r="B3" s="42"/>
      <c r="C3" s="42"/>
      <c r="D3" s="54" t="s">
        <v>100</v>
      </c>
      <c r="E3" s="54" t="s">
        <v>101</v>
      </c>
      <c r="F3" s="54" t="s">
        <v>102</v>
      </c>
      <c r="G3" s="54" t="s">
        <v>103</v>
      </c>
      <c r="H3" s="54" t="s">
        <v>104</v>
      </c>
      <c r="I3" s="54" t="s">
        <v>105</v>
      </c>
      <c r="J3" s="54" t="s">
        <v>106</v>
      </c>
      <c r="K3" s="54" t="s">
        <v>107</v>
      </c>
      <c r="L3" s="54" t="s">
        <v>108</v>
      </c>
      <c r="M3" s="54" t="s">
        <v>109</v>
      </c>
      <c r="N3" s="54" t="s">
        <v>110</v>
      </c>
      <c r="O3" s="54" t="s">
        <v>111</v>
      </c>
      <c r="P3" s="9" t="s">
        <v>113</v>
      </c>
    </row>
    <row r="4" spans="1:16" x14ac:dyDescent="0.3">
      <c r="A4" s="195" t="s">
        <v>99</v>
      </c>
      <c r="B4" s="195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x14ac:dyDescent="0.3">
      <c r="A5" s="195" t="s">
        <v>1</v>
      </c>
      <c r="B5" s="195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x14ac:dyDescent="0.3">
      <c r="A6" s="1"/>
      <c r="B6" s="94" t="s">
        <v>2</v>
      </c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>
        <f>SUM(D6:O6)</f>
        <v>0</v>
      </c>
    </row>
    <row r="7" spans="1:16" x14ac:dyDescent="0.3">
      <c r="A7" s="1"/>
      <c r="B7" s="94" t="s">
        <v>204</v>
      </c>
      <c r="C7" s="42"/>
      <c r="D7" s="43">
        <f>D1*15.87*31</f>
        <v>3935.7599999999998</v>
      </c>
      <c r="E7" s="43">
        <f>E1*15.87*28</f>
        <v>3554.8799999999997</v>
      </c>
      <c r="F7" s="43">
        <f>F1*15.87*31</f>
        <v>3935.7599999999998</v>
      </c>
      <c r="G7" s="43">
        <f>G1*15.87*30</f>
        <v>3808.7999999999997</v>
      </c>
      <c r="H7" s="43">
        <f>H1*15.87*31</f>
        <v>3935.7599999999998</v>
      </c>
      <c r="I7" s="43">
        <f>I1*15.87*30</f>
        <v>3808.7999999999997</v>
      </c>
      <c r="J7" s="43">
        <f t="shared" ref="J7:O7" si="0">J1*15.87*31</f>
        <v>3935.7599999999998</v>
      </c>
      <c r="K7" s="43">
        <f t="shared" si="0"/>
        <v>3935.7599999999998</v>
      </c>
      <c r="L7" s="43">
        <f>L1*15.87*30</f>
        <v>3808.7999999999997</v>
      </c>
      <c r="M7" s="43">
        <f t="shared" si="0"/>
        <v>3935.7599999999998</v>
      </c>
      <c r="N7" s="43">
        <f>N1*15.87*30</f>
        <v>3808.7999999999997</v>
      </c>
      <c r="O7" s="43">
        <f t="shared" si="0"/>
        <v>3935.7599999999998</v>
      </c>
      <c r="P7" s="43">
        <f>SUM(E7:O7)</f>
        <v>42404.639999999999</v>
      </c>
    </row>
    <row r="8" spans="1:16" s="42" customFormat="1" x14ac:dyDescent="0.3">
      <c r="A8" s="1"/>
      <c r="B8" s="94" t="s">
        <v>205</v>
      </c>
      <c r="D8" s="43">
        <f>D2*45</f>
        <v>360</v>
      </c>
      <c r="E8" s="43">
        <f t="shared" ref="E8:O8" si="1">E2*45</f>
        <v>360</v>
      </c>
      <c r="F8" s="43">
        <f t="shared" si="1"/>
        <v>360</v>
      </c>
      <c r="G8" s="43">
        <f t="shared" si="1"/>
        <v>360</v>
      </c>
      <c r="H8" s="43">
        <f t="shared" si="1"/>
        <v>360</v>
      </c>
      <c r="I8" s="43">
        <f t="shared" si="1"/>
        <v>360</v>
      </c>
      <c r="J8" s="43">
        <f t="shared" si="1"/>
        <v>360</v>
      </c>
      <c r="K8" s="43">
        <f t="shared" si="1"/>
        <v>360</v>
      </c>
      <c r="L8" s="43">
        <f t="shared" si="1"/>
        <v>360</v>
      </c>
      <c r="M8" s="43">
        <f t="shared" si="1"/>
        <v>360</v>
      </c>
      <c r="N8" s="43">
        <f t="shared" si="1"/>
        <v>360</v>
      </c>
      <c r="O8" s="43">
        <f t="shared" si="1"/>
        <v>360</v>
      </c>
      <c r="P8" s="43">
        <f>SUM(E8:O8)</f>
        <v>3960</v>
      </c>
    </row>
    <row r="9" spans="1:16" x14ac:dyDescent="0.3">
      <c r="A9" s="1"/>
      <c r="B9" s="94" t="s">
        <v>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>
        <f>SUM(E9:O9)</f>
        <v>0</v>
      </c>
    </row>
    <row r="10" spans="1:16" s="42" customFormat="1" x14ac:dyDescent="0.3">
      <c r="A10" s="1"/>
      <c r="B10" s="94" t="s">
        <v>206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>SUM(E10:O10)</f>
        <v>0</v>
      </c>
    </row>
    <row r="11" spans="1:16" x14ac:dyDescent="0.3">
      <c r="A11" s="1"/>
      <c r="B11" s="94" t="s">
        <v>207</v>
      </c>
      <c r="C11" s="42"/>
      <c r="D11" s="43">
        <v>0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>
        <f>SUM(D11:O11)</f>
        <v>0</v>
      </c>
    </row>
    <row r="12" spans="1:16" x14ac:dyDescent="0.3">
      <c r="A12" s="195" t="s">
        <v>6</v>
      </c>
      <c r="B12" s="195"/>
      <c r="C12" s="42"/>
      <c r="D12" s="28">
        <f>SUM(D6:D11)</f>
        <v>4295.76</v>
      </c>
      <c r="E12" s="28">
        <f t="shared" ref="E12:P12" si="2">SUM(E6:E11)</f>
        <v>3914.8799999999997</v>
      </c>
      <c r="F12" s="28">
        <f t="shared" si="2"/>
        <v>4295.76</v>
      </c>
      <c r="G12" s="28">
        <f t="shared" si="2"/>
        <v>4168.7999999999993</v>
      </c>
      <c r="H12" s="28">
        <f t="shared" si="2"/>
        <v>4295.76</v>
      </c>
      <c r="I12" s="28">
        <f t="shared" si="2"/>
        <v>4168.7999999999993</v>
      </c>
      <c r="J12" s="28">
        <f t="shared" si="2"/>
        <v>4295.76</v>
      </c>
      <c r="K12" s="28">
        <f t="shared" si="2"/>
        <v>4295.76</v>
      </c>
      <c r="L12" s="28">
        <f t="shared" si="2"/>
        <v>4168.7999999999993</v>
      </c>
      <c r="M12" s="28">
        <f t="shared" si="2"/>
        <v>4295.76</v>
      </c>
      <c r="N12" s="28">
        <f t="shared" si="2"/>
        <v>4168.7999999999993</v>
      </c>
      <c r="O12" s="28">
        <f t="shared" si="2"/>
        <v>4295.76</v>
      </c>
      <c r="P12" s="28">
        <f t="shared" si="2"/>
        <v>46364.639999999999</v>
      </c>
    </row>
    <row r="13" spans="1:16" x14ac:dyDescent="0.3">
      <c r="A13" s="195" t="s">
        <v>7</v>
      </c>
      <c r="B13" s="195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6" x14ac:dyDescent="0.3">
      <c r="A14" s="1"/>
      <c r="B14" s="97" t="s">
        <v>8</v>
      </c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f>SUM(D14:O14)</f>
        <v>0</v>
      </c>
    </row>
    <row r="15" spans="1:16" x14ac:dyDescent="0.3">
      <c r="A15" s="1"/>
      <c r="B15" s="97" t="s">
        <v>9</v>
      </c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>
        <f>SUM(D15:O15)</f>
        <v>0</v>
      </c>
    </row>
    <row r="16" spans="1:16" x14ac:dyDescent="0.3">
      <c r="A16" s="1"/>
      <c r="B16" s="97" t="s">
        <v>219</v>
      </c>
      <c r="C16" s="42"/>
      <c r="D16" s="43">
        <v>0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f>SUM(D16:O16)</f>
        <v>0</v>
      </c>
    </row>
    <row r="17" spans="1:16" x14ac:dyDescent="0.3">
      <c r="A17" s="1"/>
      <c r="B17" s="66" t="s">
        <v>16</v>
      </c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>
        <f>SUM(D17:O17)</f>
        <v>0</v>
      </c>
    </row>
    <row r="18" spans="1:16" x14ac:dyDescent="0.3">
      <c r="A18" s="195" t="s">
        <v>10</v>
      </c>
      <c r="B18" s="195"/>
      <c r="C18" s="42"/>
      <c r="D18" s="28">
        <f>SUM(D14:D17)</f>
        <v>0</v>
      </c>
      <c r="E18" s="28">
        <f t="shared" ref="E18:P18" si="3">SUM(E14:E17)</f>
        <v>0</v>
      </c>
      <c r="F18" s="28">
        <f t="shared" si="3"/>
        <v>0</v>
      </c>
      <c r="G18" s="28">
        <f t="shared" si="3"/>
        <v>0</v>
      </c>
      <c r="H18" s="28">
        <f t="shared" si="3"/>
        <v>0</v>
      </c>
      <c r="I18" s="28">
        <f t="shared" si="3"/>
        <v>0</v>
      </c>
      <c r="J18" s="28">
        <f t="shared" si="3"/>
        <v>0</v>
      </c>
      <c r="K18" s="28">
        <f t="shared" si="3"/>
        <v>0</v>
      </c>
      <c r="L18" s="28">
        <f t="shared" si="3"/>
        <v>0</v>
      </c>
      <c r="M18" s="28">
        <f t="shared" si="3"/>
        <v>0</v>
      </c>
      <c r="N18" s="28">
        <f t="shared" si="3"/>
        <v>0</v>
      </c>
      <c r="O18" s="28">
        <f t="shared" si="3"/>
        <v>0</v>
      </c>
      <c r="P18" s="28">
        <f t="shared" si="3"/>
        <v>0</v>
      </c>
    </row>
    <row r="19" spans="1:16" x14ac:dyDescent="0.3">
      <c r="A19" s="195" t="s">
        <v>11</v>
      </c>
      <c r="B19" s="195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3">
      <c r="A20" s="1"/>
      <c r="B20" s="88" t="s">
        <v>12</v>
      </c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>
        <f t="shared" ref="P20:P25" si="4">SUM(D20:O20)</f>
        <v>0</v>
      </c>
    </row>
    <row r="21" spans="1:16" x14ac:dyDescent="0.3">
      <c r="A21" s="1"/>
      <c r="B21" s="88" t="s">
        <v>96</v>
      </c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>
        <f t="shared" si="4"/>
        <v>0</v>
      </c>
    </row>
    <row r="22" spans="1:16" x14ac:dyDescent="0.3">
      <c r="A22" s="1"/>
      <c r="B22" s="88" t="s">
        <v>97</v>
      </c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>
        <f t="shared" si="4"/>
        <v>0</v>
      </c>
    </row>
    <row r="23" spans="1:16" x14ac:dyDescent="0.3">
      <c r="A23" s="1"/>
      <c r="B23" s="88" t="s">
        <v>13</v>
      </c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>
        <f t="shared" si="4"/>
        <v>0</v>
      </c>
    </row>
    <row r="24" spans="1:16" x14ac:dyDescent="0.3">
      <c r="A24" s="1"/>
      <c r="B24" s="88" t="s">
        <v>14</v>
      </c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>
        <f t="shared" si="4"/>
        <v>0</v>
      </c>
    </row>
    <row r="25" spans="1:16" x14ac:dyDescent="0.3">
      <c r="A25" s="1"/>
      <c r="B25" s="1"/>
      <c r="C25" s="42"/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f t="shared" si="4"/>
        <v>0</v>
      </c>
    </row>
    <row r="26" spans="1:16" x14ac:dyDescent="0.3">
      <c r="A26" s="195" t="s">
        <v>15</v>
      </c>
      <c r="B26" s="195"/>
      <c r="C26" s="42"/>
      <c r="D26" s="28">
        <f>SUM(D20:D25)</f>
        <v>0</v>
      </c>
      <c r="E26" s="28">
        <f t="shared" ref="E26:P26" si="5">SUM(E20:E25)</f>
        <v>0</v>
      </c>
      <c r="F26" s="28">
        <f t="shared" si="5"/>
        <v>0</v>
      </c>
      <c r="G26" s="28">
        <f t="shared" si="5"/>
        <v>0</v>
      </c>
      <c r="H26" s="28">
        <f t="shared" si="5"/>
        <v>0</v>
      </c>
      <c r="I26" s="28">
        <f t="shared" si="5"/>
        <v>0</v>
      </c>
      <c r="J26" s="28">
        <f t="shared" si="5"/>
        <v>0</v>
      </c>
      <c r="K26" s="28">
        <f t="shared" si="5"/>
        <v>0</v>
      </c>
      <c r="L26" s="28">
        <f t="shared" si="5"/>
        <v>0</v>
      </c>
      <c r="M26" s="28">
        <f t="shared" si="5"/>
        <v>0</v>
      </c>
      <c r="N26" s="28">
        <f t="shared" si="5"/>
        <v>0</v>
      </c>
      <c r="O26" s="28">
        <f t="shared" si="5"/>
        <v>0</v>
      </c>
      <c r="P26" s="28">
        <f t="shared" si="5"/>
        <v>0</v>
      </c>
    </row>
    <row r="27" spans="1:16" x14ac:dyDescent="0.3">
      <c r="A27" s="195" t="s">
        <v>16</v>
      </c>
      <c r="B27" s="195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x14ac:dyDescent="0.3">
      <c r="A28" s="88" t="s">
        <v>17</v>
      </c>
      <c r="B28" s="88" t="s">
        <v>18</v>
      </c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>
        <f>SUM(D28:O28)</f>
        <v>0</v>
      </c>
    </row>
    <row r="29" spans="1:16" x14ac:dyDescent="0.3">
      <c r="A29" s="88" t="s">
        <v>17</v>
      </c>
      <c r="B29" s="88" t="s">
        <v>19</v>
      </c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>
        <f>SUM(D29:O29)</f>
        <v>0</v>
      </c>
    </row>
    <row r="30" spans="1:16" x14ac:dyDescent="0.3">
      <c r="A30" s="88" t="s">
        <v>17</v>
      </c>
      <c r="B30" s="88" t="s">
        <v>20</v>
      </c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>
        <f>SUM(D30:O30)</f>
        <v>0</v>
      </c>
    </row>
    <row r="31" spans="1:16" x14ac:dyDescent="0.3">
      <c r="A31" s="88" t="s">
        <v>17</v>
      </c>
      <c r="B31" s="88" t="s">
        <v>21</v>
      </c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>
        <f>SUM(D31:O31)</f>
        <v>0</v>
      </c>
    </row>
    <row r="32" spans="1:16" x14ac:dyDescent="0.3">
      <c r="A32" s="1"/>
      <c r="B32" s="1"/>
      <c r="C32" s="42"/>
      <c r="D32" s="30">
        <f>D12+D18+D26+D28+D29+D30+D31</f>
        <v>4295.76</v>
      </c>
      <c r="E32" s="30">
        <f t="shared" ref="E32:P32" si="6">E12+E18+E26+E28+E29+E30+E31</f>
        <v>3914.8799999999997</v>
      </c>
      <c r="F32" s="30">
        <f t="shared" si="6"/>
        <v>4295.76</v>
      </c>
      <c r="G32" s="30">
        <f t="shared" si="6"/>
        <v>4168.7999999999993</v>
      </c>
      <c r="H32" s="30">
        <f t="shared" si="6"/>
        <v>4295.76</v>
      </c>
      <c r="I32" s="30">
        <f t="shared" si="6"/>
        <v>4168.7999999999993</v>
      </c>
      <c r="J32" s="30">
        <f t="shared" si="6"/>
        <v>4295.76</v>
      </c>
      <c r="K32" s="30">
        <f t="shared" si="6"/>
        <v>4295.76</v>
      </c>
      <c r="L32" s="30">
        <f t="shared" si="6"/>
        <v>4168.7999999999993</v>
      </c>
      <c r="M32" s="30">
        <f t="shared" si="6"/>
        <v>4295.76</v>
      </c>
      <c r="N32" s="30">
        <f t="shared" si="6"/>
        <v>4168.7999999999993</v>
      </c>
      <c r="O32" s="30">
        <f t="shared" si="6"/>
        <v>4295.76</v>
      </c>
      <c r="P32" s="30">
        <f t="shared" si="6"/>
        <v>46364.639999999999</v>
      </c>
    </row>
    <row r="33" spans="1:16" x14ac:dyDescent="0.3">
      <c r="A33" s="1"/>
      <c r="B33" s="1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x14ac:dyDescent="0.3">
      <c r="A34" s="195" t="s">
        <v>22</v>
      </c>
      <c r="B34" s="195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x14ac:dyDescent="0.3">
      <c r="A35" s="1"/>
      <c r="B35" s="88" t="s">
        <v>23</v>
      </c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>
        <f>SUM(D35:O35)</f>
        <v>0</v>
      </c>
    </row>
    <row r="36" spans="1:16" x14ac:dyDescent="0.3">
      <c r="A36" s="1"/>
      <c r="B36" s="88" t="s">
        <v>24</v>
      </c>
      <c r="C36" s="42"/>
      <c r="D36" s="43">
        <f>D35*0.0755</f>
        <v>0</v>
      </c>
      <c r="E36" s="43">
        <f t="shared" ref="E36:O36" si="7">E35*0.0755</f>
        <v>0</v>
      </c>
      <c r="F36" s="43">
        <f t="shared" si="7"/>
        <v>0</v>
      </c>
      <c r="G36" s="43">
        <f t="shared" si="7"/>
        <v>0</v>
      </c>
      <c r="H36" s="43">
        <f t="shared" si="7"/>
        <v>0</v>
      </c>
      <c r="I36" s="43">
        <f t="shared" si="7"/>
        <v>0</v>
      </c>
      <c r="J36" s="43">
        <f t="shared" si="7"/>
        <v>0</v>
      </c>
      <c r="K36" s="43">
        <f t="shared" si="7"/>
        <v>0</v>
      </c>
      <c r="L36" s="43">
        <f t="shared" si="7"/>
        <v>0</v>
      </c>
      <c r="M36" s="43">
        <f t="shared" si="7"/>
        <v>0</v>
      </c>
      <c r="N36" s="43">
        <f t="shared" si="7"/>
        <v>0</v>
      </c>
      <c r="O36" s="43">
        <f t="shared" si="7"/>
        <v>0</v>
      </c>
      <c r="P36" s="43">
        <f t="shared" ref="P36:P42" si="8">SUM(D36:O36)</f>
        <v>0</v>
      </c>
    </row>
    <row r="37" spans="1:16" x14ac:dyDescent="0.3">
      <c r="A37" s="1"/>
      <c r="B37" s="88" t="s">
        <v>25</v>
      </c>
      <c r="C37" s="42"/>
      <c r="D37" s="43">
        <f>D35*0.013</f>
        <v>0</v>
      </c>
      <c r="E37" s="43">
        <f t="shared" ref="E37:O37" si="9">E35*0.013</f>
        <v>0</v>
      </c>
      <c r="F37" s="43">
        <f t="shared" si="9"/>
        <v>0</v>
      </c>
      <c r="G37" s="43">
        <f t="shared" si="9"/>
        <v>0</v>
      </c>
      <c r="H37" s="43">
        <f t="shared" si="9"/>
        <v>0</v>
      </c>
      <c r="I37" s="43">
        <f t="shared" si="9"/>
        <v>0</v>
      </c>
      <c r="J37" s="43">
        <f t="shared" si="9"/>
        <v>0</v>
      </c>
      <c r="K37" s="43">
        <f t="shared" si="9"/>
        <v>0</v>
      </c>
      <c r="L37" s="43">
        <f t="shared" si="9"/>
        <v>0</v>
      </c>
      <c r="M37" s="43">
        <f t="shared" si="9"/>
        <v>0</v>
      </c>
      <c r="N37" s="43">
        <f t="shared" si="9"/>
        <v>0</v>
      </c>
      <c r="O37" s="43">
        <f t="shared" si="9"/>
        <v>0</v>
      </c>
      <c r="P37" s="43">
        <f t="shared" si="8"/>
        <v>0</v>
      </c>
    </row>
    <row r="38" spans="1:16" x14ac:dyDescent="0.3">
      <c r="A38" s="1"/>
      <c r="B38" s="88" t="s">
        <v>26</v>
      </c>
      <c r="C38" s="42"/>
      <c r="D38" s="43">
        <f>D35*0.0894</f>
        <v>0</v>
      </c>
      <c r="E38" s="43">
        <f t="shared" ref="E38:O38" si="10">E35*0.0894</f>
        <v>0</v>
      </c>
      <c r="F38" s="43">
        <f t="shared" si="10"/>
        <v>0</v>
      </c>
      <c r="G38" s="43">
        <f t="shared" si="10"/>
        <v>0</v>
      </c>
      <c r="H38" s="43">
        <f t="shared" si="10"/>
        <v>0</v>
      </c>
      <c r="I38" s="43">
        <f t="shared" si="10"/>
        <v>0</v>
      </c>
      <c r="J38" s="43">
        <f t="shared" si="10"/>
        <v>0</v>
      </c>
      <c r="K38" s="43">
        <f t="shared" si="10"/>
        <v>0</v>
      </c>
      <c r="L38" s="43">
        <f t="shared" si="10"/>
        <v>0</v>
      </c>
      <c r="M38" s="43">
        <f t="shared" si="10"/>
        <v>0</v>
      </c>
      <c r="N38" s="43">
        <f t="shared" si="10"/>
        <v>0</v>
      </c>
      <c r="O38" s="43">
        <f t="shared" si="10"/>
        <v>0</v>
      </c>
      <c r="P38" s="43">
        <f t="shared" si="8"/>
        <v>0</v>
      </c>
    </row>
    <row r="39" spans="1:16" x14ac:dyDescent="0.3">
      <c r="A39" s="1"/>
      <c r="B39" s="88" t="s">
        <v>27</v>
      </c>
      <c r="C39" s="42"/>
      <c r="D39" s="43">
        <f t="shared" ref="D39:O39" si="11">D35*0.0087</f>
        <v>0</v>
      </c>
      <c r="E39" s="43">
        <f t="shared" si="11"/>
        <v>0</v>
      </c>
      <c r="F39" s="43">
        <f t="shared" si="11"/>
        <v>0</v>
      </c>
      <c r="G39" s="43">
        <f t="shared" si="11"/>
        <v>0</v>
      </c>
      <c r="H39" s="43">
        <f t="shared" si="11"/>
        <v>0</v>
      </c>
      <c r="I39" s="43">
        <f t="shared" si="11"/>
        <v>0</v>
      </c>
      <c r="J39" s="43">
        <f t="shared" si="11"/>
        <v>0</v>
      </c>
      <c r="K39" s="43">
        <f t="shared" si="11"/>
        <v>0</v>
      </c>
      <c r="L39" s="43">
        <f t="shared" si="11"/>
        <v>0</v>
      </c>
      <c r="M39" s="43">
        <f t="shared" si="11"/>
        <v>0</v>
      </c>
      <c r="N39" s="43">
        <f t="shared" si="11"/>
        <v>0</v>
      </c>
      <c r="O39" s="43">
        <f t="shared" si="11"/>
        <v>0</v>
      </c>
      <c r="P39" s="43">
        <f t="shared" si="8"/>
        <v>0</v>
      </c>
    </row>
    <row r="40" spans="1:16" x14ac:dyDescent="0.3">
      <c r="A40" s="1"/>
      <c r="B40" s="88" t="s">
        <v>28</v>
      </c>
      <c r="C40" s="42"/>
      <c r="D40" s="43">
        <f>D35*0.0277</f>
        <v>0</v>
      </c>
      <c r="E40" s="43">
        <f t="shared" ref="E40:O40" si="12">E35*0.0277</f>
        <v>0</v>
      </c>
      <c r="F40" s="43">
        <f t="shared" si="12"/>
        <v>0</v>
      </c>
      <c r="G40" s="43">
        <f t="shared" si="12"/>
        <v>0</v>
      </c>
      <c r="H40" s="43">
        <f t="shared" si="12"/>
        <v>0</v>
      </c>
      <c r="I40" s="43">
        <f t="shared" si="12"/>
        <v>0</v>
      </c>
      <c r="J40" s="43">
        <f t="shared" si="12"/>
        <v>0</v>
      </c>
      <c r="K40" s="43">
        <f t="shared" si="12"/>
        <v>0</v>
      </c>
      <c r="L40" s="43">
        <f t="shared" si="12"/>
        <v>0</v>
      </c>
      <c r="M40" s="43">
        <f t="shared" si="12"/>
        <v>0</v>
      </c>
      <c r="N40" s="43">
        <f t="shared" si="12"/>
        <v>0</v>
      </c>
      <c r="O40" s="43">
        <f t="shared" si="12"/>
        <v>0</v>
      </c>
      <c r="P40" s="43">
        <f t="shared" si="8"/>
        <v>0</v>
      </c>
    </row>
    <row r="41" spans="1:16" x14ac:dyDescent="0.3">
      <c r="A41" s="1"/>
      <c r="B41" s="88" t="s">
        <v>29</v>
      </c>
      <c r="C41" s="42"/>
      <c r="D41" s="43">
        <f>D35*0.019</f>
        <v>0</v>
      </c>
      <c r="E41" s="43">
        <f t="shared" ref="E41:O41" si="13">E35*0.019</f>
        <v>0</v>
      </c>
      <c r="F41" s="43">
        <f t="shared" si="13"/>
        <v>0</v>
      </c>
      <c r="G41" s="43">
        <f t="shared" si="13"/>
        <v>0</v>
      </c>
      <c r="H41" s="43">
        <f t="shared" si="13"/>
        <v>0</v>
      </c>
      <c r="I41" s="43">
        <f t="shared" si="13"/>
        <v>0</v>
      </c>
      <c r="J41" s="43">
        <f t="shared" si="13"/>
        <v>0</v>
      </c>
      <c r="K41" s="43">
        <f t="shared" si="13"/>
        <v>0</v>
      </c>
      <c r="L41" s="43">
        <f t="shared" si="13"/>
        <v>0</v>
      </c>
      <c r="M41" s="43">
        <f t="shared" si="13"/>
        <v>0</v>
      </c>
      <c r="N41" s="43">
        <f t="shared" si="13"/>
        <v>0</v>
      </c>
      <c r="O41" s="43">
        <f t="shared" si="13"/>
        <v>0</v>
      </c>
      <c r="P41" s="43">
        <f t="shared" si="8"/>
        <v>0</v>
      </c>
    </row>
    <row r="42" spans="1:16" x14ac:dyDescent="0.3">
      <c r="A42" s="1"/>
      <c r="B42" s="88" t="s">
        <v>30</v>
      </c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>
        <f t="shared" si="8"/>
        <v>0</v>
      </c>
    </row>
    <row r="43" spans="1:16" x14ac:dyDescent="0.3">
      <c r="A43" s="195" t="s">
        <v>31</v>
      </c>
      <c r="B43" s="195"/>
      <c r="C43" s="42"/>
      <c r="D43" s="28">
        <f>SUM(D35:D42)</f>
        <v>0</v>
      </c>
      <c r="E43" s="28">
        <f t="shared" ref="E43:P43" si="14">SUM(E35:E42)</f>
        <v>0</v>
      </c>
      <c r="F43" s="28">
        <f t="shared" si="14"/>
        <v>0</v>
      </c>
      <c r="G43" s="28">
        <f t="shared" si="14"/>
        <v>0</v>
      </c>
      <c r="H43" s="28">
        <f t="shared" si="14"/>
        <v>0</v>
      </c>
      <c r="I43" s="28">
        <f t="shared" si="14"/>
        <v>0</v>
      </c>
      <c r="J43" s="28">
        <f t="shared" si="14"/>
        <v>0</v>
      </c>
      <c r="K43" s="28">
        <f t="shared" si="14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8">
        <f t="shared" si="14"/>
        <v>0</v>
      </c>
    </row>
    <row r="44" spans="1:16" x14ac:dyDescent="0.3">
      <c r="A44" s="195" t="s">
        <v>32</v>
      </c>
      <c r="B44" s="195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3">
      <c r="A45" s="1"/>
      <c r="B45" s="88" t="s">
        <v>33</v>
      </c>
      <c r="C45" s="42"/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f t="shared" ref="P45:P52" si="15">SUM(D45:O45)</f>
        <v>0</v>
      </c>
    </row>
    <row r="46" spans="1:16" x14ac:dyDescent="0.3">
      <c r="A46" s="1"/>
      <c r="B46" s="88" t="s">
        <v>34</v>
      </c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>
        <f t="shared" si="15"/>
        <v>0</v>
      </c>
    </row>
    <row r="47" spans="1:16" x14ac:dyDescent="0.3">
      <c r="A47" s="1"/>
      <c r="B47" s="88" t="s">
        <v>35</v>
      </c>
      <c r="C47" s="42"/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f t="shared" si="15"/>
        <v>0</v>
      </c>
    </row>
    <row r="48" spans="1:16" x14ac:dyDescent="0.3">
      <c r="A48" s="1"/>
      <c r="B48" s="88" t="s">
        <v>36</v>
      </c>
      <c r="C48" s="42"/>
      <c r="D48" s="43">
        <v>10</v>
      </c>
      <c r="E48" s="43">
        <v>10</v>
      </c>
      <c r="F48" s="43">
        <v>10</v>
      </c>
      <c r="G48" s="43">
        <v>10</v>
      </c>
      <c r="H48" s="43">
        <v>10</v>
      </c>
      <c r="I48" s="43">
        <v>10</v>
      </c>
      <c r="J48" s="43">
        <v>10</v>
      </c>
      <c r="K48" s="43">
        <v>10</v>
      </c>
      <c r="L48" s="43">
        <v>10</v>
      </c>
      <c r="M48" s="43">
        <v>10</v>
      </c>
      <c r="N48" s="43">
        <v>10</v>
      </c>
      <c r="O48" s="43">
        <v>10</v>
      </c>
      <c r="P48" s="43">
        <f t="shared" si="15"/>
        <v>120</v>
      </c>
    </row>
    <row r="49" spans="1:16" x14ac:dyDescent="0.3">
      <c r="A49" s="1"/>
      <c r="B49" s="88" t="s">
        <v>37</v>
      </c>
      <c r="C49" s="42"/>
      <c r="D49" s="43">
        <v>10</v>
      </c>
      <c r="E49" s="43">
        <v>10</v>
      </c>
      <c r="F49" s="43">
        <v>10</v>
      </c>
      <c r="G49" s="43">
        <v>10</v>
      </c>
      <c r="H49" s="43">
        <v>10</v>
      </c>
      <c r="I49" s="43">
        <v>10</v>
      </c>
      <c r="J49" s="43">
        <v>10</v>
      </c>
      <c r="K49" s="43">
        <v>10</v>
      </c>
      <c r="L49" s="43">
        <v>10</v>
      </c>
      <c r="M49" s="43">
        <v>10</v>
      </c>
      <c r="N49" s="43">
        <v>10</v>
      </c>
      <c r="O49" s="43">
        <v>10</v>
      </c>
      <c r="P49" s="43">
        <f t="shared" si="15"/>
        <v>120</v>
      </c>
    </row>
    <row r="50" spans="1:16" s="42" customFormat="1" x14ac:dyDescent="0.3">
      <c r="A50" s="1"/>
      <c r="B50" s="93" t="s">
        <v>194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>
        <f t="shared" si="15"/>
        <v>0</v>
      </c>
    </row>
    <row r="51" spans="1:16" x14ac:dyDescent="0.3">
      <c r="A51" s="1"/>
      <c r="B51" s="88" t="s">
        <v>38</v>
      </c>
      <c r="C51" s="42"/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f t="shared" si="15"/>
        <v>0</v>
      </c>
    </row>
    <row r="52" spans="1:16" x14ac:dyDescent="0.3">
      <c r="A52" s="1"/>
      <c r="B52" s="88" t="s">
        <v>39</v>
      </c>
      <c r="C52" s="42"/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f t="shared" si="15"/>
        <v>0</v>
      </c>
    </row>
    <row r="53" spans="1:16" x14ac:dyDescent="0.3">
      <c r="A53" s="195" t="s">
        <v>40</v>
      </c>
      <c r="B53" s="195"/>
      <c r="C53" s="42"/>
      <c r="D53" s="28">
        <f>SUM(D45:D52)</f>
        <v>20</v>
      </c>
      <c r="E53" s="28">
        <f t="shared" ref="E53:P53" si="16">SUM(E45:E52)</f>
        <v>20</v>
      </c>
      <c r="F53" s="28">
        <f t="shared" si="16"/>
        <v>20</v>
      </c>
      <c r="G53" s="28">
        <f t="shared" si="16"/>
        <v>20</v>
      </c>
      <c r="H53" s="28">
        <f t="shared" si="16"/>
        <v>20</v>
      </c>
      <c r="I53" s="28">
        <f t="shared" si="16"/>
        <v>20</v>
      </c>
      <c r="J53" s="28">
        <f t="shared" si="16"/>
        <v>20</v>
      </c>
      <c r="K53" s="28">
        <f t="shared" si="16"/>
        <v>20</v>
      </c>
      <c r="L53" s="28">
        <f t="shared" si="16"/>
        <v>20</v>
      </c>
      <c r="M53" s="28">
        <f t="shared" si="16"/>
        <v>20</v>
      </c>
      <c r="N53" s="28">
        <f t="shared" si="16"/>
        <v>20</v>
      </c>
      <c r="O53" s="28">
        <f t="shared" si="16"/>
        <v>20</v>
      </c>
      <c r="P53" s="28">
        <f t="shared" si="16"/>
        <v>240</v>
      </c>
    </row>
    <row r="54" spans="1:16" x14ac:dyDescent="0.3">
      <c r="A54" s="195" t="s">
        <v>41</v>
      </c>
      <c r="B54" s="195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x14ac:dyDescent="0.3">
      <c r="A55" s="1"/>
      <c r="B55" s="88" t="s">
        <v>42</v>
      </c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f t="shared" ref="P55:P83" si="17">SUM(D55:O55)</f>
        <v>0</v>
      </c>
    </row>
    <row r="56" spans="1:16" x14ac:dyDescent="0.3">
      <c r="A56" s="1"/>
      <c r="B56" s="88" t="s">
        <v>43</v>
      </c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>
        <f t="shared" si="17"/>
        <v>0</v>
      </c>
    </row>
    <row r="57" spans="1:16" x14ac:dyDescent="0.3">
      <c r="A57" s="1"/>
      <c r="B57" s="88" t="s">
        <v>44</v>
      </c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>
        <f t="shared" si="17"/>
        <v>0</v>
      </c>
    </row>
    <row r="58" spans="1:16" x14ac:dyDescent="0.3">
      <c r="A58" s="1"/>
      <c r="B58" s="88" t="s">
        <v>45</v>
      </c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>
        <f t="shared" si="17"/>
        <v>0</v>
      </c>
    </row>
    <row r="59" spans="1:16" x14ac:dyDescent="0.3">
      <c r="A59" s="1"/>
      <c r="B59" s="88" t="s">
        <v>46</v>
      </c>
      <c r="C59" s="42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f t="shared" si="17"/>
        <v>0</v>
      </c>
    </row>
    <row r="60" spans="1:16" x14ac:dyDescent="0.3">
      <c r="A60" s="1"/>
      <c r="B60" s="88" t="s">
        <v>47</v>
      </c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f t="shared" si="17"/>
        <v>0</v>
      </c>
    </row>
    <row r="61" spans="1:16" x14ac:dyDescent="0.3">
      <c r="A61" s="1"/>
      <c r="B61" s="88" t="s">
        <v>48</v>
      </c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f t="shared" si="17"/>
        <v>0</v>
      </c>
    </row>
    <row r="62" spans="1:16" x14ac:dyDescent="0.3">
      <c r="A62" s="1"/>
      <c r="B62" s="88" t="s">
        <v>49</v>
      </c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>
        <f t="shared" si="17"/>
        <v>0</v>
      </c>
    </row>
    <row r="63" spans="1:16" x14ac:dyDescent="0.3">
      <c r="A63" s="1"/>
      <c r="B63" s="88" t="s">
        <v>50</v>
      </c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f t="shared" si="17"/>
        <v>0</v>
      </c>
    </row>
    <row r="64" spans="1:16" x14ac:dyDescent="0.3">
      <c r="A64" s="1"/>
      <c r="B64" s="88" t="s">
        <v>51</v>
      </c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17"/>
        <v>0</v>
      </c>
    </row>
    <row r="65" spans="1:16" x14ac:dyDescent="0.3">
      <c r="A65" s="1"/>
      <c r="B65" s="88" t="s">
        <v>52</v>
      </c>
      <c r="C65" s="42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>
        <f t="shared" si="17"/>
        <v>0</v>
      </c>
    </row>
    <row r="66" spans="1:16" x14ac:dyDescent="0.3">
      <c r="A66" s="1"/>
      <c r="B66" s="88" t="s">
        <v>53</v>
      </c>
      <c r="C66" s="42"/>
      <c r="D66" s="43">
        <v>10</v>
      </c>
      <c r="E66" s="43">
        <v>10</v>
      </c>
      <c r="F66" s="43">
        <v>10</v>
      </c>
      <c r="G66" s="43">
        <v>10</v>
      </c>
      <c r="H66" s="43">
        <v>10</v>
      </c>
      <c r="I66" s="43">
        <v>10</v>
      </c>
      <c r="J66" s="43">
        <v>10</v>
      </c>
      <c r="K66" s="43">
        <v>10</v>
      </c>
      <c r="L66" s="43">
        <v>10</v>
      </c>
      <c r="M66" s="43">
        <v>10</v>
      </c>
      <c r="N66" s="43">
        <v>10</v>
      </c>
      <c r="O66" s="43">
        <v>10</v>
      </c>
      <c r="P66" s="43">
        <f t="shared" si="17"/>
        <v>120</v>
      </c>
    </row>
    <row r="67" spans="1:16" x14ac:dyDescent="0.3">
      <c r="A67" s="1"/>
      <c r="B67" s="88" t="s">
        <v>54</v>
      </c>
      <c r="C67" s="42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>
        <f t="shared" si="17"/>
        <v>0</v>
      </c>
    </row>
    <row r="68" spans="1:16" x14ac:dyDescent="0.3">
      <c r="A68" s="1"/>
      <c r="B68" s="88" t="s">
        <v>55</v>
      </c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>
        <f t="shared" si="17"/>
        <v>0</v>
      </c>
    </row>
    <row r="69" spans="1:16" x14ac:dyDescent="0.3">
      <c r="A69" s="1"/>
      <c r="B69" s="88" t="s">
        <v>56</v>
      </c>
      <c r="C69" s="42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>
        <f t="shared" si="17"/>
        <v>0</v>
      </c>
    </row>
    <row r="70" spans="1:16" x14ac:dyDescent="0.3">
      <c r="A70" s="1"/>
      <c r="B70" s="88" t="s">
        <v>57</v>
      </c>
      <c r="C70" s="42"/>
      <c r="D70" s="43">
        <v>41</v>
      </c>
      <c r="E70" s="43">
        <v>41</v>
      </c>
      <c r="F70" s="43">
        <v>41</v>
      </c>
      <c r="G70" s="43">
        <v>41</v>
      </c>
      <c r="H70" s="43">
        <v>41</v>
      </c>
      <c r="I70" s="43">
        <v>41</v>
      </c>
      <c r="J70" s="43">
        <v>41</v>
      </c>
      <c r="K70" s="43">
        <v>41</v>
      </c>
      <c r="L70" s="43">
        <v>41</v>
      </c>
      <c r="M70" s="43">
        <v>41</v>
      </c>
      <c r="N70" s="43">
        <v>41</v>
      </c>
      <c r="O70" s="43">
        <v>41</v>
      </c>
      <c r="P70" s="43">
        <f t="shared" si="17"/>
        <v>492</v>
      </c>
    </row>
    <row r="71" spans="1:16" x14ac:dyDescent="0.3">
      <c r="A71" s="1"/>
      <c r="B71" s="88" t="s">
        <v>58</v>
      </c>
      <c r="C71" s="42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>
        <f t="shared" si="17"/>
        <v>0</v>
      </c>
    </row>
    <row r="72" spans="1:16" x14ac:dyDescent="0.3">
      <c r="A72" s="1"/>
      <c r="B72" s="88" t="s">
        <v>59</v>
      </c>
      <c r="C72" s="42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>
        <f t="shared" si="17"/>
        <v>0</v>
      </c>
    </row>
    <row r="73" spans="1:16" x14ac:dyDescent="0.3">
      <c r="A73" s="1"/>
      <c r="B73" s="88" t="s">
        <v>60</v>
      </c>
      <c r="C73" s="42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>
        <f t="shared" si="17"/>
        <v>0</v>
      </c>
    </row>
    <row r="74" spans="1:16" x14ac:dyDescent="0.3">
      <c r="A74" s="1"/>
      <c r="B74" s="88" t="s">
        <v>61</v>
      </c>
      <c r="C74" s="42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 t="shared" si="17"/>
        <v>0</v>
      </c>
    </row>
    <row r="75" spans="1:16" x14ac:dyDescent="0.3">
      <c r="A75" s="1"/>
      <c r="B75" s="88" t="s">
        <v>62</v>
      </c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>
        <f t="shared" si="17"/>
        <v>0</v>
      </c>
    </row>
    <row r="76" spans="1:16" x14ac:dyDescent="0.3">
      <c r="A76" s="1"/>
      <c r="B76" s="88" t="s">
        <v>63</v>
      </c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>
        <f t="shared" si="17"/>
        <v>0</v>
      </c>
    </row>
    <row r="77" spans="1:16" x14ac:dyDescent="0.3">
      <c r="A77" s="88" t="s">
        <v>17</v>
      </c>
      <c r="B77" s="88" t="s">
        <v>64</v>
      </c>
      <c r="C77" s="42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>
        <f t="shared" si="17"/>
        <v>0</v>
      </c>
    </row>
    <row r="78" spans="1:16" x14ac:dyDescent="0.3">
      <c r="A78" s="1"/>
      <c r="B78" s="88" t="s">
        <v>65</v>
      </c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86">
        <f t="shared" si="17"/>
        <v>0</v>
      </c>
    </row>
    <row r="79" spans="1:16" x14ac:dyDescent="0.3">
      <c r="A79" s="1"/>
      <c r="B79" s="1"/>
      <c r="C79" s="42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f t="shared" si="17"/>
        <v>0</v>
      </c>
    </row>
    <row r="80" spans="1:16" x14ac:dyDescent="0.3">
      <c r="A80" s="1"/>
      <c r="B80" s="88"/>
      <c r="C80" s="42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f t="shared" si="17"/>
        <v>0</v>
      </c>
    </row>
    <row r="81" spans="1:16" x14ac:dyDescent="0.3">
      <c r="A81" s="1"/>
      <c r="B81" s="88"/>
      <c r="C81" s="4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>
        <f t="shared" si="17"/>
        <v>0</v>
      </c>
    </row>
    <row r="82" spans="1:16" x14ac:dyDescent="0.3">
      <c r="A82" s="1"/>
      <c r="B82" s="88"/>
      <c r="C82" s="42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>
        <f t="shared" si="17"/>
        <v>0</v>
      </c>
    </row>
    <row r="83" spans="1:16" x14ac:dyDescent="0.3">
      <c r="A83" s="1"/>
      <c r="B83" s="88"/>
      <c r="C83" s="42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f t="shared" si="17"/>
        <v>0</v>
      </c>
    </row>
    <row r="84" spans="1:16" x14ac:dyDescent="0.3">
      <c r="A84" s="195" t="s">
        <v>66</v>
      </c>
      <c r="B84" s="195"/>
      <c r="C84" s="42"/>
      <c r="D84" s="28">
        <f>SUM(D56:D83)</f>
        <v>51</v>
      </c>
      <c r="E84" s="28">
        <f t="shared" ref="E84:P84" si="18">SUM(E56:E83)</f>
        <v>51</v>
      </c>
      <c r="F84" s="28">
        <f t="shared" si="18"/>
        <v>51</v>
      </c>
      <c r="G84" s="28">
        <f t="shared" si="18"/>
        <v>51</v>
      </c>
      <c r="H84" s="28">
        <f t="shared" si="18"/>
        <v>51</v>
      </c>
      <c r="I84" s="28">
        <f t="shared" si="18"/>
        <v>51</v>
      </c>
      <c r="J84" s="28">
        <f t="shared" si="18"/>
        <v>51</v>
      </c>
      <c r="K84" s="28">
        <f t="shared" si="18"/>
        <v>51</v>
      </c>
      <c r="L84" s="28">
        <f t="shared" si="18"/>
        <v>51</v>
      </c>
      <c r="M84" s="28">
        <f t="shared" si="18"/>
        <v>51</v>
      </c>
      <c r="N84" s="28">
        <f t="shared" si="18"/>
        <v>51</v>
      </c>
      <c r="O84" s="28">
        <f t="shared" si="18"/>
        <v>51</v>
      </c>
      <c r="P84" s="28">
        <f t="shared" si="18"/>
        <v>612</v>
      </c>
    </row>
    <row r="85" spans="1:16" x14ac:dyDescent="0.3">
      <c r="A85" s="195" t="s">
        <v>67</v>
      </c>
      <c r="B85" s="195"/>
      <c r="C85" s="42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x14ac:dyDescent="0.3">
      <c r="A86" s="1"/>
      <c r="B86" s="88" t="s">
        <v>68</v>
      </c>
      <c r="C86" s="42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>
        <f t="shared" ref="P86:P104" si="19">SUM(D86:O86)</f>
        <v>0</v>
      </c>
    </row>
    <row r="87" spans="1:16" x14ac:dyDescent="0.3">
      <c r="A87" s="1"/>
      <c r="B87" s="88" t="s">
        <v>69</v>
      </c>
      <c r="C87" s="42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>
        <f t="shared" si="19"/>
        <v>0</v>
      </c>
    </row>
    <row r="88" spans="1:16" x14ac:dyDescent="0.3">
      <c r="A88" s="1"/>
      <c r="B88" s="88" t="s">
        <v>70</v>
      </c>
      <c r="C88" s="42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>
        <f t="shared" si="19"/>
        <v>0</v>
      </c>
    </row>
    <row r="89" spans="1:16" x14ac:dyDescent="0.3">
      <c r="A89" s="1"/>
      <c r="B89" s="88" t="s">
        <v>71</v>
      </c>
      <c r="C89" s="42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>
        <f t="shared" si="19"/>
        <v>0</v>
      </c>
    </row>
    <row r="90" spans="1:16" x14ac:dyDescent="0.3">
      <c r="A90" s="1"/>
      <c r="B90" s="88" t="s">
        <v>72</v>
      </c>
      <c r="C90" s="42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>
        <f t="shared" si="19"/>
        <v>0</v>
      </c>
    </row>
    <row r="91" spans="1:16" x14ac:dyDescent="0.3">
      <c r="A91" s="1"/>
      <c r="B91" s="88" t="s">
        <v>73</v>
      </c>
      <c r="C91" s="42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>
        <f t="shared" si="19"/>
        <v>0</v>
      </c>
    </row>
    <row r="92" spans="1:16" x14ac:dyDescent="0.3">
      <c r="A92" s="1"/>
      <c r="B92" s="88" t="s">
        <v>74</v>
      </c>
      <c r="C92" s="42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>
        <f t="shared" si="19"/>
        <v>0</v>
      </c>
    </row>
    <row r="93" spans="1:16" x14ac:dyDescent="0.3">
      <c r="A93" s="1"/>
      <c r="B93" s="88" t="s">
        <v>75</v>
      </c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>
        <f t="shared" si="19"/>
        <v>0</v>
      </c>
    </row>
    <row r="94" spans="1:16" x14ac:dyDescent="0.3">
      <c r="A94" s="1"/>
      <c r="B94" s="88" t="s">
        <v>76</v>
      </c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>
        <f t="shared" si="19"/>
        <v>0</v>
      </c>
    </row>
    <row r="95" spans="1:16" x14ac:dyDescent="0.3">
      <c r="A95" s="1"/>
      <c r="B95" s="88" t="s">
        <v>77</v>
      </c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>
        <f t="shared" si="19"/>
        <v>0</v>
      </c>
    </row>
    <row r="96" spans="1:16" x14ac:dyDescent="0.3">
      <c r="A96" s="1"/>
      <c r="B96" s="88" t="s">
        <v>78</v>
      </c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>
        <f t="shared" si="19"/>
        <v>0</v>
      </c>
    </row>
    <row r="97" spans="1:16" x14ac:dyDescent="0.3">
      <c r="A97" s="1"/>
      <c r="B97" s="88" t="s">
        <v>79</v>
      </c>
      <c r="C97" s="42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>
        <f t="shared" si="19"/>
        <v>0</v>
      </c>
    </row>
    <row r="98" spans="1:16" x14ac:dyDescent="0.3">
      <c r="A98" s="1"/>
      <c r="B98" s="88" t="s">
        <v>80</v>
      </c>
      <c r="C98" s="42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>
        <f t="shared" si="19"/>
        <v>0</v>
      </c>
    </row>
    <row r="99" spans="1:16" x14ac:dyDescent="0.3">
      <c r="A99" s="1"/>
      <c r="B99" s="88" t="s">
        <v>81</v>
      </c>
      <c r="C99" s="42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>
        <f t="shared" si="19"/>
        <v>0</v>
      </c>
    </row>
    <row r="100" spans="1:16" x14ac:dyDescent="0.3">
      <c r="A100" s="1"/>
      <c r="B100" s="88" t="s">
        <v>82</v>
      </c>
      <c r="C100" s="42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>
        <f t="shared" si="19"/>
        <v>0</v>
      </c>
    </row>
    <row r="101" spans="1:16" x14ac:dyDescent="0.3">
      <c r="A101" s="1"/>
      <c r="B101" s="88" t="s">
        <v>83</v>
      </c>
      <c r="C101" s="42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>
        <f t="shared" si="19"/>
        <v>0</v>
      </c>
    </row>
    <row r="102" spans="1:16" x14ac:dyDescent="0.3">
      <c r="A102" s="1"/>
      <c r="B102" s="1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>
        <f t="shared" si="19"/>
        <v>0</v>
      </c>
    </row>
    <row r="103" spans="1:16" x14ac:dyDescent="0.3">
      <c r="A103" s="1"/>
      <c r="B103" s="88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>
        <f t="shared" si="19"/>
        <v>0</v>
      </c>
    </row>
    <row r="104" spans="1:16" x14ac:dyDescent="0.3">
      <c r="A104" s="1"/>
      <c r="B104" s="88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>
        <f t="shared" si="19"/>
        <v>0</v>
      </c>
    </row>
    <row r="105" spans="1:16" x14ac:dyDescent="0.3">
      <c r="A105" s="195" t="s">
        <v>84</v>
      </c>
      <c r="B105" s="195"/>
      <c r="C105" s="42"/>
      <c r="D105" s="30">
        <f>SUM(D86:D104)</f>
        <v>0</v>
      </c>
      <c r="E105" s="30">
        <f t="shared" ref="E105:P105" si="20">SUM(E86:E104)</f>
        <v>0</v>
      </c>
      <c r="F105" s="30">
        <f t="shared" si="20"/>
        <v>0</v>
      </c>
      <c r="G105" s="30">
        <f t="shared" si="20"/>
        <v>0</v>
      </c>
      <c r="H105" s="30">
        <f t="shared" si="20"/>
        <v>0</v>
      </c>
      <c r="I105" s="30">
        <f t="shared" si="20"/>
        <v>0</v>
      </c>
      <c r="J105" s="30">
        <f t="shared" si="20"/>
        <v>0</v>
      </c>
      <c r="K105" s="30">
        <f t="shared" si="20"/>
        <v>0</v>
      </c>
      <c r="L105" s="30">
        <f t="shared" si="20"/>
        <v>0</v>
      </c>
      <c r="M105" s="30">
        <f t="shared" si="20"/>
        <v>0</v>
      </c>
      <c r="N105" s="30">
        <f t="shared" si="20"/>
        <v>0</v>
      </c>
      <c r="O105" s="30">
        <f t="shared" si="20"/>
        <v>0</v>
      </c>
      <c r="P105" s="30">
        <f t="shared" si="20"/>
        <v>0</v>
      </c>
    </row>
    <row r="106" spans="1:16" x14ac:dyDescent="0.3">
      <c r="A106" s="1"/>
      <c r="B106" s="88" t="s">
        <v>85</v>
      </c>
      <c r="C106" s="42"/>
      <c r="D106" s="30">
        <f>D105+D84+D53+D43</f>
        <v>71</v>
      </c>
      <c r="E106" s="30">
        <f t="shared" ref="E106:P106" si="21">E105+E84+E53+E43</f>
        <v>71</v>
      </c>
      <c r="F106" s="30">
        <f t="shared" si="21"/>
        <v>71</v>
      </c>
      <c r="G106" s="30">
        <f t="shared" si="21"/>
        <v>71</v>
      </c>
      <c r="H106" s="30">
        <f t="shared" si="21"/>
        <v>71</v>
      </c>
      <c r="I106" s="30">
        <f t="shared" si="21"/>
        <v>71</v>
      </c>
      <c r="J106" s="30">
        <f t="shared" si="21"/>
        <v>71</v>
      </c>
      <c r="K106" s="30">
        <f t="shared" si="21"/>
        <v>71</v>
      </c>
      <c r="L106" s="30">
        <f t="shared" si="21"/>
        <v>71</v>
      </c>
      <c r="M106" s="30">
        <f t="shared" si="21"/>
        <v>71</v>
      </c>
      <c r="N106" s="30">
        <f t="shared" si="21"/>
        <v>71</v>
      </c>
      <c r="O106" s="30">
        <f t="shared" si="21"/>
        <v>71</v>
      </c>
      <c r="P106" s="30">
        <f t="shared" si="21"/>
        <v>852</v>
      </c>
    </row>
    <row r="107" spans="1:16" x14ac:dyDescent="0.3">
      <c r="A107" s="1"/>
      <c r="B107" s="88" t="s">
        <v>86</v>
      </c>
      <c r="C107" s="42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x14ac:dyDescent="0.3">
      <c r="A108" s="42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ht="15" thickBot="1" x14ac:dyDescent="0.35">
      <c r="A109" s="42"/>
      <c r="B109" s="42" t="s">
        <v>112</v>
      </c>
      <c r="C109" s="42"/>
      <c r="D109" s="31">
        <f>D32-D106-D107</f>
        <v>4224.76</v>
      </c>
      <c r="E109" s="31">
        <f t="shared" ref="E109:P109" si="22">E32-E106-E107</f>
        <v>3843.8799999999997</v>
      </c>
      <c r="F109" s="31">
        <f t="shared" si="22"/>
        <v>4224.76</v>
      </c>
      <c r="G109" s="31">
        <f t="shared" si="22"/>
        <v>4097.7999999999993</v>
      </c>
      <c r="H109" s="31">
        <f t="shared" si="22"/>
        <v>4224.76</v>
      </c>
      <c r="I109" s="31">
        <f t="shared" si="22"/>
        <v>4097.7999999999993</v>
      </c>
      <c r="J109" s="31">
        <f t="shared" si="22"/>
        <v>4224.76</v>
      </c>
      <c r="K109" s="31">
        <f t="shared" si="22"/>
        <v>4224.76</v>
      </c>
      <c r="L109" s="31">
        <f t="shared" si="22"/>
        <v>4097.7999999999993</v>
      </c>
      <c r="M109" s="31">
        <f t="shared" si="22"/>
        <v>4224.76</v>
      </c>
      <c r="N109" s="31">
        <f t="shared" si="22"/>
        <v>4097.7999999999993</v>
      </c>
      <c r="O109" s="31">
        <f t="shared" si="22"/>
        <v>4224.76</v>
      </c>
      <c r="P109" s="31">
        <f t="shared" si="22"/>
        <v>45512.639999999999</v>
      </c>
    </row>
    <row r="110" spans="1:16" ht="15" thickTop="1" x14ac:dyDescent="0.3"/>
  </sheetData>
  <mergeCells count="16"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  <mergeCell ref="A19:B19"/>
    <mergeCell ref="A4:B4"/>
    <mergeCell ref="A5:B5"/>
    <mergeCell ref="A12:B12"/>
    <mergeCell ref="A13:B13"/>
    <mergeCell ref="A18:B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11"/>
  <sheetViews>
    <sheetView topLeftCell="A31" workbookViewId="0">
      <selection activeCell="D38" sqref="D38:O38"/>
    </sheetView>
  </sheetViews>
  <sheetFormatPr defaultRowHeight="14.4" x14ac:dyDescent="0.3"/>
  <sheetData>
    <row r="1" spans="1:16" x14ac:dyDescent="0.3">
      <c r="A1" s="42"/>
      <c r="B1" s="42"/>
      <c r="C1" s="42" t="s">
        <v>192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3">
      <c r="A2" s="42"/>
      <c r="B2" s="42"/>
      <c r="C2" s="43" t="s">
        <v>191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3">
      <c r="A3" s="42"/>
      <c r="B3" s="42"/>
      <c r="C3" s="42"/>
      <c r="D3" s="54" t="s">
        <v>100</v>
      </c>
      <c r="E3" s="54" t="s">
        <v>101</v>
      </c>
      <c r="F3" s="54" t="s">
        <v>102</v>
      </c>
      <c r="G3" s="54" t="s">
        <v>103</v>
      </c>
      <c r="H3" s="54" t="s">
        <v>104</v>
      </c>
      <c r="I3" s="54" t="s">
        <v>105</v>
      </c>
      <c r="J3" s="54" t="s">
        <v>106</v>
      </c>
      <c r="K3" s="54" t="s">
        <v>107</v>
      </c>
      <c r="L3" s="54" t="s">
        <v>108</v>
      </c>
      <c r="M3" s="54" t="s">
        <v>109</v>
      </c>
      <c r="N3" s="54" t="s">
        <v>110</v>
      </c>
      <c r="O3" s="54" t="s">
        <v>111</v>
      </c>
      <c r="P3" s="9" t="s">
        <v>113</v>
      </c>
    </row>
    <row r="4" spans="1:16" x14ac:dyDescent="0.3">
      <c r="A4" s="195" t="s">
        <v>99</v>
      </c>
      <c r="B4" s="195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x14ac:dyDescent="0.3">
      <c r="A5" s="195" t="s">
        <v>1</v>
      </c>
      <c r="B5" s="195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x14ac:dyDescent="0.3">
      <c r="A6" s="1"/>
      <c r="B6" s="97" t="s">
        <v>2</v>
      </c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>
        <f>SUM(D6:O6)</f>
        <v>0</v>
      </c>
    </row>
    <row r="7" spans="1:16" x14ac:dyDescent="0.3">
      <c r="A7" s="1"/>
      <c r="B7" s="97" t="s">
        <v>204</v>
      </c>
      <c r="C7" s="42"/>
      <c r="D7" s="43">
        <f>D1*15.87*31</f>
        <v>0</v>
      </c>
      <c r="E7" s="43">
        <f>E1*15.87*28</f>
        <v>0</v>
      </c>
      <c r="F7" s="43">
        <f>F1*15.87*31</f>
        <v>0</v>
      </c>
      <c r="G7" s="43">
        <f>G1*15.87*30</f>
        <v>0</v>
      </c>
      <c r="H7" s="43">
        <f>H1*15.87*31</f>
        <v>0</v>
      </c>
      <c r="I7" s="43">
        <f>I1*15.87*30</f>
        <v>0</v>
      </c>
      <c r="J7" s="43">
        <f t="shared" ref="J7:O7" si="0">J1*15.87*31</f>
        <v>0</v>
      </c>
      <c r="K7" s="43">
        <f t="shared" si="0"/>
        <v>0</v>
      </c>
      <c r="L7" s="43">
        <f>L1*15.87*30</f>
        <v>0</v>
      </c>
      <c r="M7" s="43">
        <f t="shared" si="0"/>
        <v>0</v>
      </c>
      <c r="N7" s="43">
        <f>N1*15.87*30</f>
        <v>0</v>
      </c>
      <c r="O7" s="43">
        <f t="shared" si="0"/>
        <v>0</v>
      </c>
      <c r="P7" s="43">
        <f>SUM(E7:O7)</f>
        <v>0</v>
      </c>
    </row>
    <row r="8" spans="1:16" x14ac:dyDescent="0.3">
      <c r="A8" s="1"/>
      <c r="B8" s="97" t="s">
        <v>205</v>
      </c>
      <c r="C8" s="42"/>
      <c r="D8" s="43">
        <f>D2*45</f>
        <v>0</v>
      </c>
      <c r="E8" s="43">
        <f t="shared" ref="E8:O8" si="1">E2*45</f>
        <v>0</v>
      </c>
      <c r="F8" s="43">
        <f t="shared" si="1"/>
        <v>0</v>
      </c>
      <c r="G8" s="43">
        <f t="shared" si="1"/>
        <v>0</v>
      </c>
      <c r="H8" s="43">
        <f t="shared" si="1"/>
        <v>0</v>
      </c>
      <c r="I8" s="43">
        <f t="shared" si="1"/>
        <v>0</v>
      </c>
      <c r="J8" s="43">
        <f t="shared" si="1"/>
        <v>0</v>
      </c>
      <c r="K8" s="43">
        <f t="shared" si="1"/>
        <v>0</v>
      </c>
      <c r="L8" s="43">
        <f t="shared" si="1"/>
        <v>0</v>
      </c>
      <c r="M8" s="43">
        <f t="shared" si="1"/>
        <v>0</v>
      </c>
      <c r="N8" s="43">
        <f t="shared" si="1"/>
        <v>0</v>
      </c>
      <c r="O8" s="43">
        <f t="shared" si="1"/>
        <v>0</v>
      </c>
      <c r="P8" s="43">
        <f>SUM(E8:O8)</f>
        <v>0</v>
      </c>
    </row>
    <row r="9" spans="1:16" x14ac:dyDescent="0.3">
      <c r="A9" s="1"/>
      <c r="B9" s="97" t="s">
        <v>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>
        <f>SUM(E9:O9)</f>
        <v>0</v>
      </c>
    </row>
    <row r="10" spans="1:16" x14ac:dyDescent="0.3">
      <c r="A10" s="1"/>
      <c r="B10" s="97" t="s">
        <v>206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>SUM(E10:O10)</f>
        <v>0</v>
      </c>
    </row>
    <row r="11" spans="1:16" x14ac:dyDescent="0.3">
      <c r="A11" s="1"/>
      <c r="B11" s="97" t="s">
        <v>207</v>
      </c>
      <c r="C11" s="42"/>
      <c r="D11" s="43">
        <v>1750</v>
      </c>
      <c r="E11" s="43">
        <v>1750</v>
      </c>
      <c r="F11" s="43">
        <v>1750</v>
      </c>
      <c r="G11" s="43">
        <v>1750</v>
      </c>
      <c r="H11" s="43">
        <v>1750</v>
      </c>
      <c r="I11" s="43">
        <v>1750</v>
      </c>
      <c r="J11" s="43">
        <v>1750</v>
      </c>
      <c r="K11" s="43">
        <v>1750</v>
      </c>
      <c r="L11" s="43">
        <v>1750</v>
      </c>
      <c r="M11" s="43">
        <v>1750</v>
      </c>
      <c r="N11" s="43">
        <v>1750</v>
      </c>
      <c r="O11" s="43">
        <v>1750</v>
      </c>
      <c r="P11" s="43">
        <f>SUM(D11:O11)</f>
        <v>21000</v>
      </c>
    </row>
    <row r="12" spans="1:16" x14ac:dyDescent="0.3">
      <c r="A12" s="195" t="s">
        <v>6</v>
      </c>
      <c r="B12" s="195"/>
      <c r="C12" s="42"/>
      <c r="D12" s="28">
        <f>SUM(D6:D11)</f>
        <v>1750</v>
      </c>
      <c r="E12" s="28">
        <f t="shared" ref="E12:P12" si="2">SUM(E6:E11)</f>
        <v>1750</v>
      </c>
      <c r="F12" s="28">
        <f t="shared" si="2"/>
        <v>1750</v>
      </c>
      <c r="G12" s="28">
        <f t="shared" si="2"/>
        <v>1750</v>
      </c>
      <c r="H12" s="28">
        <f t="shared" si="2"/>
        <v>1750</v>
      </c>
      <c r="I12" s="28">
        <f t="shared" si="2"/>
        <v>1750</v>
      </c>
      <c r="J12" s="28">
        <f t="shared" si="2"/>
        <v>1750</v>
      </c>
      <c r="K12" s="28">
        <f t="shared" si="2"/>
        <v>1750</v>
      </c>
      <c r="L12" s="28">
        <f t="shared" si="2"/>
        <v>1750</v>
      </c>
      <c r="M12" s="28">
        <f t="shared" si="2"/>
        <v>1750</v>
      </c>
      <c r="N12" s="28">
        <f t="shared" si="2"/>
        <v>1750</v>
      </c>
      <c r="O12" s="28">
        <f t="shared" si="2"/>
        <v>1750</v>
      </c>
      <c r="P12" s="28">
        <f t="shared" si="2"/>
        <v>21000</v>
      </c>
    </row>
    <row r="13" spans="1:16" x14ac:dyDescent="0.3">
      <c r="A13" s="195" t="s">
        <v>7</v>
      </c>
      <c r="B13" s="195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6" x14ac:dyDescent="0.3">
      <c r="A14" s="1"/>
      <c r="B14" s="97" t="s">
        <v>8</v>
      </c>
      <c r="C14" s="42"/>
      <c r="D14" s="43">
        <v>13258</v>
      </c>
      <c r="E14" s="43">
        <v>11500</v>
      </c>
      <c r="F14" s="43">
        <v>11500</v>
      </c>
      <c r="G14" s="43">
        <v>11500</v>
      </c>
      <c r="H14" s="43">
        <v>11500</v>
      </c>
      <c r="I14" s="43">
        <v>11500</v>
      </c>
      <c r="J14" s="43">
        <v>11500</v>
      </c>
      <c r="K14" s="43">
        <v>13258</v>
      </c>
      <c r="L14" s="43">
        <v>11207</v>
      </c>
      <c r="M14" s="43">
        <v>11207</v>
      </c>
      <c r="N14" s="43">
        <v>11207</v>
      </c>
      <c r="O14" s="43">
        <v>11207</v>
      </c>
      <c r="P14" s="43">
        <f>SUM(D14:O14)</f>
        <v>140344</v>
      </c>
    </row>
    <row r="15" spans="1:16" x14ac:dyDescent="0.3">
      <c r="A15" s="1"/>
      <c r="B15" s="97" t="s">
        <v>9</v>
      </c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>
        <f>SUM(D15:O15)</f>
        <v>0</v>
      </c>
    </row>
    <row r="16" spans="1:16" x14ac:dyDescent="0.3">
      <c r="A16" s="1"/>
      <c r="B16" s="97" t="s">
        <v>219</v>
      </c>
      <c r="C16" s="42"/>
      <c r="D16" s="43">
        <v>0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f>SUM(D16:O16)</f>
        <v>0</v>
      </c>
    </row>
    <row r="17" spans="1:16" x14ac:dyDescent="0.3">
      <c r="A17" s="1"/>
      <c r="B17" s="66" t="s">
        <v>16</v>
      </c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>
        <f>SUM(D17:O17)</f>
        <v>0</v>
      </c>
    </row>
    <row r="18" spans="1:16" x14ac:dyDescent="0.3">
      <c r="A18" s="195" t="s">
        <v>10</v>
      </c>
      <c r="B18" s="195"/>
      <c r="C18" s="42"/>
      <c r="D18" s="28">
        <f>SUM(D14:D17)</f>
        <v>13258</v>
      </c>
      <c r="E18" s="28">
        <f t="shared" ref="E18:P18" si="3">SUM(E14:E17)</f>
        <v>11500</v>
      </c>
      <c r="F18" s="28">
        <f t="shared" si="3"/>
        <v>11500</v>
      </c>
      <c r="G18" s="28">
        <f t="shared" si="3"/>
        <v>11500</v>
      </c>
      <c r="H18" s="28">
        <f t="shared" si="3"/>
        <v>11500</v>
      </c>
      <c r="I18" s="28">
        <f t="shared" si="3"/>
        <v>11500</v>
      </c>
      <c r="J18" s="28">
        <f t="shared" si="3"/>
        <v>11500</v>
      </c>
      <c r="K18" s="28">
        <f t="shared" si="3"/>
        <v>13258</v>
      </c>
      <c r="L18" s="28">
        <f t="shared" si="3"/>
        <v>11207</v>
      </c>
      <c r="M18" s="28">
        <f t="shared" si="3"/>
        <v>11207</v>
      </c>
      <c r="N18" s="28">
        <f t="shared" si="3"/>
        <v>11207</v>
      </c>
      <c r="O18" s="28">
        <f t="shared" si="3"/>
        <v>11207</v>
      </c>
      <c r="P18" s="28">
        <f t="shared" si="3"/>
        <v>140344</v>
      </c>
    </row>
    <row r="19" spans="1:16" x14ac:dyDescent="0.3">
      <c r="A19" s="195" t="s">
        <v>11</v>
      </c>
      <c r="B19" s="195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3">
      <c r="A20" s="1"/>
      <c r="B20" s="98" t="s">
        <v>12</v>
      </c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>
        <f t="shared" ref="P20:P25" si="4">SUM(D20:O20)</f>
        <v>0</v>
      </c>
    </row>
    <row r="21" spans="1:16" x14ac:dyDescent="0.3">
      <c r="A21" s="1"/>
      <c r="B21" s="98" t="s">
        <v>96</v>
      </c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>
        <f t="shared" si="4"/>
        <v>0</v>
      </c>
    </row>
    <row r="22" spans="1:16" x14ac:dyDescent="0.3">
      <c r="A22" s="1"/>
      <c r="B22" s="98" t="s">
        <v>97</v>
      </c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>
        <f t="shared" si="4"/>
        <v>0</v>
      </c>
    </row>
    <row r="23" spans="1:16" x14ac:dyDescent="0.3">
      <c r="A23" s="1"/>
      <c r="B23" s="98" t="s">
        <v>13</v>
      </c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>
        <f t="shared" si="4"/>
        <v>0</v>
      </c>
    </row>
    <row r="24" spans="1:16" x14ac:dyDescent="0.3">
      <c r="A24" s="1"/>
      <c r="B24" s="98" t="s">
        <v>14</v>
      </c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>
        <f t="shared" si="4"/>
        <v>0</v>
      </c>
    </row>
    <row r="25" spans="1:16" x14ac:dyDescent="0.3">
      <c r="A25" s="1"/>
      <c r="B25" s="1"/>
      <c r="C25" s="42"/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f t="shared" si="4"/>
        <v>0</v>
      </c>
    </row>
    <row r="26" spans="1:16" x14ac:dyDescent="0.3">
      <c r="A26" s="195" t="s">
        <v>15</v>
      </c>
      <c r="B26" s="195"/>
      <c r="C26" s="42"/>
      <c r="D26" s="28">
        <f>SUM(D20:D25)</f>
        <v>0</v>
      </c>
      <c r="E26" s="28">
        <f t="shared" ref="E26:P26" si="5">SUM(E20:E25)</f>
        <v>0</v>
      </c>
      <c r="F26" s="28">
        <f t="shared" si="5"/>
        <v>0</v>
      </c>
      <c r="G26" s="28">
        <f t="shared" si="5"/>
        <v>0</v>
      </c>
      <c r="H26" s="28">
        <f t="shared" si="5"/>
        <v>0</v>
      </c>
      <c r="I26" s="28">
        <f t="shared" si="5"/>
        <v>0</v>
      </c>
      <c r="J26" s="28">
        <f t="shared" si="5"/>
        <v>0</v>
      </c>
      <c r="K26" s="28">
        <f t="shared" si="5"/>
        <v>0</v>
      </c>
      <c r="L26" s="28">
        <f t="shared" si="5"/>
        <v>0</v>
      </c>
      <c r="M26" s="28">
        <f t="shared" si="5"/>
        <v>0</v>
      </c>
      <c r="N26" s="28">
        <f t="shared" si="5"/>
        <v>0</v>
      </c>
      <c r="O26" s="28">
        <f t="shared" si="5"/>
        <v>0</v>
      </c>
      <c r="P26" s="28">
        <f t="shared" si="5"/>
        <v>0</v>
      </c>
    </row>
    <row r="27" spans="1:16" x14ac:dyDescent="0.3">
      <c r="A27" s="195" t="s">
        <v>16</v>
      </c>
      <c r="B27" s="195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x14ac:dyDescent="0.3">
      <c r="A28" s="98" t="s">
        <v>17</v>
      </c>
      <c r="B28" s="98" t="s">
        <v>18</v>
      </c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>
        <f>SUM(D28:O28)</f>
        <v>0</v>
      </c>
    </row>
    <row r="29" spans="1:16" x14ac:dyDescent="0.3">
      <c r="A29" s="98" t="s">
        <v>17</v>
      </c>
      <c r="B29" s="98" t="s">
        <v>19</v>
      </c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>
        <f>SUM(D29:O29)</f>
        <v>0</v>
      </c>
    </row>
    <row r="30" spans="1:16" x14ac:dyDescent="0.3">
      <c r="A30" s="98" t="s">
        <v>17</v>
      </c>
      <c r="B30" s="98" t="s">
        <v>20</v>
      </c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>
        <f>SUM(D30:O30)</f>
        <v>0</v>
      </c>
    </row>
    <row r="31" spans="1:16" x14ac:dyDescent="0.3">
      <c r="A31" s="98" t="s">
        <v>17</v>
      </c>
      <c r="B31" s="98" t="s">
        <v>21</v>
      </c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>
        <f>SUM(D31:O31)</f>
        <v>0</v>
      </c>
    </row>
    <row r="32" spans="1:16" x14ac:dyDescent="0.3">
      <c r="A32" s="1"/>
      <c r="B32" s="1"/>
      <c r="C32" s="42"/>
      <c r="D32" s="30">
        <f>D12+D18+D26+D28+D29+D30+D31</f>
        <v>15008</v>
      </c>
      <c r="E32" s="30">
        <f t="shared" ref="E32:P32" si="6">E12+E18+E26+E28+E29+E30+E31</f>
        <v>13250</v>
      </c>
      <c r="F32" s="30">
        <f t="shared" si="6"/>
        <v>13250</v>
      </c>
      <c r="G32" s="30">
        <f t="shared" si="6"/>
        <v>13250</v>
      </c>
      <c r="H32" s="30">
        <f t="shared" si="6"/>
        <v>13250</v>
      </c>
      <c r="I32" s="30">
        <f t="shared" si="6"/>
        <v>13250</v>
      </c>
      <c r="J32" s="30">
        <f t="shared" si="6"/>
        <v>13250</v>
      </c>
      <c r="K32" s="30">
        <f t="shared" si="6"/>
        <v>15008</v>
      </c>
      <c r="L32" s="30">
        <f t="shared" si="6"/>
        <v>12957</v>
      </c>
      <c r="M32" s="30">
        <f t="shared" si="6"/>
        <v>12957</v>
      </c>
      <c r="N32" s="30">
        <f t="shared" si="6"/>
        <v>12957</v>
      </c>
      <c r="O32" s="30">
        <f t="shared" si="6"/>
        <v>12957</v>
      </c>
      <c r="P32" s="30">
        <f t="shared" si="6"/>
        <v>161344</v>
      </c>
    </row>
    <row r="33" spans="1:16" x14ac:dyDescent="0.3">
      <c r="A33" s="1"/>
      <c r="B33" s="1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x14ac:dyDescent="0.3">
      <c r="A34" s="195" t="s">
        <v>22</v>
      </c>
      <c r="B34" s="195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x14ac:dyDescent="0.3">
      <c r="A35" s="1"/>
      <c r="B35" s="98" t="s">
        <v>23</v>
      </c>
      <c r="C35" s="42"/>
      <c r="D35" s="43">
        <f>Sheet22!I112</f>
        <v>3223.2000000000003</v>
      </c>
      <c r="E35" s="43">
        <f>Sheet22!J112</f>
        <v>3223.2000000000003</v>
      </c>
      <c r="F35" s="43">
        <f>Sheet22!K112</f>
        <v>4834.8</v>
      </c>
      <c r="G35" s="43">
        <f>Sheet22!L112</f>
        <v>3223.2000000000003</v>
      </c>
      <c r="H35" s="43">
        <f>Sheet22!M112</f>
        <v>3223.2000000000003</v>
      </c>
      <c r="I35" s="43">
        <f>Sheet22!N112</f>
        <v>3223.2000000000003</v>
      </c>
      <c r="J35" s="43">
        <f>Sheet22!O112</f>
        <v>3223.2000000000003</v>
      </c>
      <c r="K35" s="43">
        <f>Sheet22!P112</f>
        <v>4834.8</v>
      </c>
      <c r="L35" s="43">
        <f>Sheet22!Q112</f>
        <v>3223.2000000000003</v>
      </c>
      <c r="M35" s="43">
        <f>Sheet22!R112</f>
        <v>3223.2000000000003</v>
      </c>
      <c r="N35" s="43">
        <f>Sheet22!S112</f>
        <v>3223.2000000000003</v>
      </c>
      <c r="O35" s="43">
        <f>Sheet22!T112</f>
        <v>3223.2000000000003</v>
      </c>
      <c r="P35" s="43">
        <f>SUM(D35:O35)</f>
        <v>41901.599999999999</v>
      </c>
    </row>
    <row r="36" spans="1:16" x14ac:dyDescent="0.3">
      <c r="A36" s="1"/>
      <c r="B36" s="98" t="s">
        <v>24</v>
      </c>
      <c r="C36" s="42"/>
      <c r="D36" s="43">
        <f>D35*0.0735</f>
        <v>236.90520000000001</v>
      </c>
      <c r="E36" s="43">
        <f t="shared" ref="E36:O36" si="7">E35*0.0735</f>
        <v>236.90520000000001</v>
      </c>
      <c r="F36" s="43">
        <f t="shared" si="7"/>
        <v>355.3578</v>
      </c>
      <c r="G36" s="43">
        <f t="shared" si="7"/>
        <v>236.90520000000001</v>
      </c>
      <c r="H36" s="43">
        <f t="shared" si="7"/>
        <v>236.90520000000001</v>
      </c>
      <c r="I36" s="43">
        <f t="shared" si="7"/>
        <v>236.90520000000001</v>
      </c>
      <c r="J36" s="43">
        <f t="shared" si="7"/>
        <v>236.90520000000001</v>
      </c>
      <c r="K36" s="43">
        <f t="shared" si="7"/>
        <v>355.3578</v>
      </c>
      <c r="L36" s="43">
        <f t="shared" si="7"/>
        <v>236.90520000000001</v>
      </c>
      <c r="M36" s="43">
        <f t="shared" si="7"/>
        <v>236.90520000000001</v>
      </c>
      <c r="N36" s="43">
        <f t="shared" si="7"/>
        <v>236.90520000000001</v>
      </c>
      <c r="O36" s="43">
        <f t="shared" si="7"/>
        <v>236.90520000000001</v>
      </c>
      <c r="P36" s="43">
        <f t="shared" ref="P36:P42" si="8">SUM(D36:O36)</f>
        <v>3079.7676000000001</v>
      </c>
    </row>
    <row r="37" spans="1:16" x14ac:dyDescent="0.3">
      <c r="A37" s="1"/>
      <c r="B37" s="98" t="s">
        <v>25</v>
      </c>
      <c r="C37" s="42"/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f t="shared" si="8"/>
        <v>0</v>
      </c>
    </row>
    <row r="38" spans="1:16" x14ac:dyDescent="0.3">
      <c r="A38" s="1"/>
      <c r="B38" s="98" t="s">
        <v>26</v>
      </c>
      <c r="C38" s="42"/>
      <c r="D38" s="43">
        <f>D35*0.12042</f>
        <v>388.13774400000005</v>
      </c>
      <c r="E38" s="43">
        <f>E35*0.120421</f>
        <v>388.14096720000003</v>
      </c>
      <c r="F38" s="43">
        <f t="shared" ref="F38:O38" si="9">F35*0.120421</f>
        <v>582.21145080000008</v>
      </c>
      <c r="G38" s="43">
        <f t="shared" si="9"/>
        <v>388.14096720000003</v>
      </c>
      <c r="H38" s="43">
        <f t="shared" si="9"/>
        <v>388.14096720000003</v>
      </c>
      <c r="I38" s="43">
        <f t="shared" si="9"/>
        <v>388.14096720000003</v>
      </c>
      <c r="J38" s="43">
        <f t="shared" si="9"/>
        <v>388.14096720000003</v>
      </c>
      <c r="K38" s="43">
        <f t="shared" si="9"/>
        <v>582.21145080000008</v>
      </c>
      <c r="L38" s="43">
        <f t="shared" si="9"/>
        <v>388.14096720000003</v>
      </c>
      <c r="M38" s="43">
        <f t="shared" si="9"/>
        <v>388.14096720000003</v>
      </c>
      <c r="N38" s="43">
        <f t="shared" si="9"/>
        <v>388.14096720000003</v>
      </c>
      <c r="O38" s="43">
        <f t="shared" si="9"/>
        <v>388.14096720000003</v>
      </c>
      <c r="P38" s="43">
        <f t="shared" si="8"/>
        <v>5045.8293504000003</v>
      </c>
    </row>
    <row r="39" spans="1:16" x14ac:dyDescent="0.3">
      <c r="A39" s="1"/>
      <c r="B39" s="98" t="s">
        <v>27</v>
      </c>
      <c r="C39" s="42"/>
      <c r="D39" s="43">
        <f>D35*0.0112</f>
        <v>36.09984</v>
      </c>
      <c r="E39" s="43">
        <f t="shared" ref="E39:O39" si="10">E35*0.0112</f>
        <v>36.09984</v>
      </c>
      <c r="F39" s="43">
        <f t="shared" si="10"/>
        <v>54.149760000000001</v>
      </c>
      <c r="G39" s="43">
        <f t="shared" si="10"/>
        <v>36.09984</v>
      </c>
      <c r="H39" s="43">
        <f t="shared" si="10"/>
        <v>36.09984</v>
      </c>
      <c r="I39" s="43">
        <f t="shared" si="10"/>
        <v>36.09984</v>
      </c>
      <c r="J39" s="43">
        <f t="shared" si="10"/>
        <v>36.09984</v>
      </c>
      <c r="K39" s="43">
        <f t="shared" si="10"/>
        <v>54.149760000000001</v>
      </c>
      <c r="L39" s="43">
        <f t="shared" si="10"/>
        <v>36.09984</v>
      </c>
      <c r="M39" s="43">
        <f t="shared" si="10"/>
        <v>36.09984</v>
      </c>
      <c r="N39" s="43">
        <f t="shared" si="10"/>
        <v>36.09984</v>
      </c>
      <c r="O39" s="43">
        <f t="shared" si="10"/>
        <v>36.09984</v>
      </c>
      <c r="P39" s="43">
        <f t="shared" si="8"/>
        <v>469.29791999999986</v>
      </c>
    </row>
    <row r="40" spans="1:16" x14ac:dyDescent="0.3">
      <c r="A40" s="1"/>
      <c r="B40" s="98" t="s">
        <v>28</v>
      </c>
      <c r="C40" s="42"/>
      <c r="D40" s="43">
        <f>D35*0.028</f>
        <v>90.249600000000015</v>
      </c>
      <c r="E40" s="43">
        <f t="shared" ref="E40:O40" si="11">E35*0.028</f>
        <v>90.249600000000015</v>
      </c>
      <c r="F40" s="43">
        <f t="shared" si="11"/>
        <v>135.37440000000001</v>
      </c>
      <c r="G40" s="43">
        <f t="shared" si="11"/>
        <v>90.249600000000015</v>
      </c>
      <c r="H40" s="43">
        <f t="shared" si="11"/>
        <v>90.249600000000015</v>
      </c>
      <c r="I40" s="43">
        <f t="shared" si="11"/>
        <v>90.249600000000015</v>
      </c>
      <c r="J40" s="43">
        <f t="shared" si="11"/>
        <v>90.249600000000015</v>
      </c>
      <c r="K40" s="43">
        <f t="shared" si="11"/>
        <v>135.37440000000001</v>
      </c>
      <c r="L40" s="43">
        <f t="shared" si="11"/>
        <v>90.249600000000015</v>
      </c>
      <c r="M40" s="43">
        <f t="shared" si="11"/>
        <v>90.249600000000015</v>
      </c>
      <c r="N40" s="43">
        <f t="shared" si="11"/>
        <v>90.249600000000015</v>
      </c>
      <c r="O40" s="43">
        <f t="shared" si="11"/>
        <v>90.249600000000015</v>
      </c>
      <c r="P40" s="43">
        <f t="shared" si="8"/>
        <v>1173.2448000000002</v>
      </c>
    </row>
    <row r="41" spans="1:16" x14ac:dyDescent="0.3">
      <c r="A41" s="1"/>
      <c r="B41" s="98" t="s">
        <v>29</v>
      </c>
      <c r="C41" s="42"/>
      <c r="D41" s="43">
        <f>D35*0.01373</f>
        <v>44.254536000000002</v>
      </c>
      <c r="E41" s="43">
        <f t="shared" ref="E41:O41" si="12">E35*0.01373</f>
        <v>44.254536000000002</v>
      </c>
      <c r="F41" s="43">
        <f t="shared" si="12"/>
        <v>66.381804000000002</v>
      </c>
      <c r="G41" s="43">
        <f t="shared" si="12"/>
        <v>44.254536000000002</v>
      </c>
      <c r="H41" s="43">
        <f t="shared" si="12"/>
        <v>44.254536000000002</v>
      </c>
      <c r="I41" s="43">
        <f t="shared" si="12"/>
        <v>44.254536000000002</v>
      </c>
      <c r="J41" s="43">
        <f t="shared" si="12"/>
        <v>44.254536000000002</v>
      </c>
      <c r="K41" s="43">
        <f t="shared" si="12"/>
        <v>66.381804000000002</v>
      </c>
      <c r="L41" s="43">
        <f t="shared" si="12"/>
        <v>44.254536000000002</v>
      </c>
      <c r="M41" s="43">
        <f t="shared" si="12"/>
        <v>44.254536000000002</v>
      </c>
      <c r="N41" s="43">
        <f t="shared" si="12"/>
        <v>44.254536000000002</v>
      </c>
      <c r="O41" s="43">
        <f t="shared" si="12"/>
        <v>44.254536000000002</v>
      </c>
      <c r="P41" s="43">
        <f t="shared" si="8"/>
        <v>575.30896800000016</v>
      </c>
    </row>
    <row r="42" spans="1:16" x14ac:dyDescent="0.3">
      <c r="A42" s="1"/>
      <c r="B42" s="98" t="s">
        <v>30</v>
      </c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>
        <f t="shared" si="8"/>
        <v>0</v>
      </c>
    </row>
    <row r="43" spans="1:16" x14ac:dyDescent="0.3">
      <c r="A43" s="195" t="s">
        <v>31</v>
      </c>
      <c r="B43" s="195"/>
      <c r="C43" s="42"/>
      <c r="D43" s="28">
        <f>SUM(D35:D42)</f>
        <v>4018.8469200000004</v>
      </c>
      <c r="E43" s="28">
        <f t="shared" ref="E43:P43" si="13">SUM(E35:E42)</f>
        <v>4018.8501432000003</v>
      </c>
      <c r="F43" s="28">
        <f t="shared" si="13"/>
        <v>6028.2752148</v>
      </c>
      <c r="G43" s="28">
        <f t="shared" si="13"/>
        <v>4018.8501432000003</v>
      </c>
      <c r="H43" s="28">
        <f t="shared" si="13"/>
        <v>4018.8501432000003</v>
      </c>
      <c r="I43" s="28">
        <f t="shared" si="13"/>
        <v>4018.8501432000003</v>
      </c>
      <c r="J43" s="28">
        <f t="shared" si="13"/>
        <v>4018.8501432000003</v>
      </c>
      <c r="K43" s="28">
        <f t="shared" si="13"/>
        <v>6028.2752148</v>
      </c>
      <c r="L43" s="28">
        <f t="shared" si="13"/>
        <v>4018.8501432000003</v>
      </c>
      <c r="M43" s="28">
        <f t="shared" si="13"/>
        <v>4018.8501432000003</v>
      </c>
      <c r="N43" s="28">
        <f t="shared" si="13"/>
        <v>4018.8501432000003</v>
      </c>
      <c r="O43" s="28">
        <f t="shared" si="13"/>
        <v>4018.8501432000003</v>
      </c>
      <c r="P43" s="28">
        <f t="shared" si="13"/>
        <v>52245.048638399996</v>
      </c>
    </row>
    <row r="44" spans="1:16" x14ac:dyDescent="0.3">
      <c r="A44" s="195" t="s">
        <v>32</v>
      </c>
      <c r="B44" s="195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3">
      <c r="A45" s="1"/>
      <c r="B45" s="98" t="s">
        <v>33</v>
      </c>
      <c r="C45" s="42"/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f t="shared" ref="P45:P52" si="14">SUM(D45:O45)</f>
        <v>0</v>
      </c>
    </row>
    <row r="46" spans="1:16" x14ac:dyDescent="0.3">
      <c r="A46" s="1"/>
      <c r="B46" s="98" t="s">
        <v>34</v>
      </c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>
        <f t="shared" si="14"/>
        <v>0</v>
      </c>
    </row>
    <row r="47" spans="1:16" x14ac:dyDescent="0.3">
      <c r="A47" s="1"/>
      <c r="B47" s="98" t="s">
        <v>35</v>
      </c>
      <c r="C47" s="42"/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f t="shared" si="14"/>
        <v>0</v>
      </c>
    </row>
    <row r="48" spans="1:16" x14ac:dyDescent="0.3">
      <c r="A48" s="1"/>
      <c r="B48" s="98" t="s">
        <v>36</v>
      </c>
      <c r="C48" s="42"/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f t="shared" si="14"/>
        <v>0</v>
      </c>
    </row>
    <row r="49" spans="1:16" x14ac:dyDescent="0.3">
      <c r="A49" s="1"/>
      <c r="B49" s="98" t="s">
        <v>37</v>
      </c>
      <c r="C49" s="42"/>
      <c r="D49" s="43">
        <v>10</v>
      </c>
      <c r="E49" s="43">
        <v>10</v>
      </c>
      <c r="F49" s="43">
        <v>10</v>
      </c>
      <c r="G49" s="43">
        <v>10</v>
      </c>
      <c r="H49" s="43">
        <v>10</v>
      </c>
      <c r="I49" s="43">
        <v>10</v>
      </c>
      <c r="J49" s="43">
        <v>10</v>
      </c>
      <c r="K49" s="43">
        <v>10</v>
      </c>
      <c r="L49" s="43">
        <v>10</v>
      </c>
      <c r="M49" s="43">
        <v>10</v>
      </c>
      <c r="N49" s="43">
        <v>10</v>
      </c>
      <c r="O49" s="43">
        <v>10</v>
      </c>
      <c r="P49" s="43">
        <f t="shared" si="14"/>
        <v>120</v>
      </c>
    </row>
    <row r="50" spans="1:16" x14ac:dyDescent="0.3">
      <c r="A50" s="1"/>
      <c r="B50" s="98" t="s">
        <v>194</v>
      </c>
      <c r="C50" s="42"/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f t="shared" si="14"/>
        <v>0</v>
      </c>
    </row>
    <row r="51" spans="1:16" x14ac:dyDescent="0.3">
      <c r="A51" s="1"/>
      <c r="B51" s="98" t="s">
        <v>38</v>
      </c>
      <c r="C51" s="42"/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f t="shared" si="14"/>
        <v>0</v>
      </c>
    </row>
    <row r="52" spans="1:16" x14ac:dyDescent="0.3">
      <c r="A52" s="1"/>
      <c r="B52" s="98" t="s">
        <v>39</v>
      </c>
      <c r="C52" s="42"/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f t="shared" si="14"/>
        <v>0</v>
      </c>
    </row>
    <row r="53" spans="1:16" x14ac:dyDescent="0.3">
      <c r="A53" s="195" t="s">
        <v>40</v>
      </c>
      <c r="B53" s="195"/>
      <c r="C53" s="42"/>
      <c r="D53" s="28">
        <f>SUM(D45:D52)</f>
        <v>10</v>
      </c>
      <c r="E53" s="28">
        <f t="shared" ref="E53:P53" si="15">SUM(E45:E52)</f>
        <v>10</v>
      </c>
      <c r="F53" s="28">
        <f t="shared" si="15"/>
        <v>10</v>
      </c>
      <c r="G53" s="28">
        <f t="shared" si="15"/>
        <v>10</v>
      </c>
      <c r="H53" s="28">
        <f t="shared" si="15"/>
        <v>10</v>
      </c>
      <c r="I53" s="28">
        <f t="shared" si="15"/>
        <v>10</v>
      </c>
      <c r="J53" s="28">
        <f t="shared" si="15"/>
        <v>10</v>
      </c>
      <c r="K53" s="28">
        <f t="shared" si="15"/>
        <v>10</v>
      </c>
      <c r="L53" s="28">
        <f t="shared" si="15"/>
        <v>10</v>
      </c>
      <c r="M53" s="28">
        <f t="shared" si="15"/>
        <v>10</v>
      </c>
      <c r="N53" s="28">
        <f t="shared" si="15"/>
        <v>10</v>
      </c>
      <c r="O53" s="28">
        <f t="shared" si="15"/>
        <v>10</v>
      </c>
      <c r="P53" s="28">
        <f t="shared" si="15"/>
        <v>120</v>
      </c>
    </row>
    <row r="54" spans="1:16" x14ac:dyDescent="0.3">
      <c r="A54" s="195" t="s">
        <v>41</v>
      </c>
      <c r="B54" s="195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x14ac:dyDescent="0.3">
      <c r="A55" s="1"/>
      <c r="B55" s="98" t="s">
        <v>42</v>
      </c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f t="shared" ref="P55:P83" si="16">SUM(D55:O55)</f>
        <v>0</v>
      </c>
    </row>
    <row r="56" spans="1:16" x14ac:dyDescent="0.3">
      <c r="A56" s="1"/>
      <c r="B56" s="98" t="s">
        <v>43</v>
      </c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>
        <f t="shared" si="16"/>
        <v>0</v>
      </c>
    </row>
    <row r="57" spans="1:16" x14ac:dyDescent="0.3">
      <c r="A57" s="1"/>
      <c r="B57" s="98" t="s">
        <v>44</v>
      </c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>
        <f t="shared" si="16"/>
        <v>0</v>
      </c>
    </row>
    <row r="58" spans="1:16" x14ac:dyDescent="0.3">
      <c r="A58" s="1"/>
      <c r="B58" s="98" t="s">
        <v>45</v>
      </c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>
        <f t="shared" si="16"/>
        <v>0</v>
      </c>
    </row>
    <row r="59" spans="1:16" x14ac:dyDescent="0.3">
      <c r="A59" s="1"/>
      <c r="B59" s="98" t="s">
        <v>46</v>
      </c>
      <c r="C59" s="42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f t="shared" si="16"/>
        <v>0</v>
      </c>
    </row>
    <row r="60" spans="1:16" x14ac:dyDescent="0.3">
      <c r="A60" s="1"/>
      <c r="B60" s="98" t="s">
        <v>47</v>
      </c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f t="shared" si="16"/>
        <v>0</v>
      </c>
    </row>
    <row r="61" spans="1:16" x14ac:dyDescent="0.3">
      <c r="A61" s="1"/>
      <c r="B61" s="98" t="s">
        <v>48</v>
      </c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f t="shared" si="16"/>
        <v>0</v>
      </c>
    </row>
    <row r="62" spans="1:16" x14ac:dyDescent="0.3">
      <c r="A62" s="1"/>
      <c r="B62" s="98" t="s">
        <v>49</v>
      </c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>
        <f t="shared" si="16"/>
        <v>0</v>
      </c>
    </row>
    <row r="63" spans="1:16" x14ac:dyDescent="0.3">
      <c r="A63" s="1"/>
      <c r="B63" s="98" t="s">
        <v>50</v>
      </c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f t="shared" si="16"/>
        <v>0</v>
      </c>
    </row>
    <row r="64" spans="1:16" x14ac:dyDescent="0.3">
      <c r="A64" s="1"/>
      <c r="B64" s="98" t="s">
        <v>51</v>
      </c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16"/>
        <v>0</v>
      </c>
    </row>
    <row r="65" spans="1:16" x14ac:dyDescent="0.3">
      <c r="A65" s="1"/>
      <c r="B65" s="98" t="s">
        <v>52</v>
      </c>
      <c r="C65" s="42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>
        <f t="shared" si="16"/>
        <v>0</v>
      </c>
    </row>
    <row r="66" spans="1:16" x14ac:dyDescent="0.3">
      <c r="A66" s="1"/>
      <c r="B66" s="98" t="s">
        <v>53</v>
      </c>
      <c r="C66" s="42"/>
      <c r="D66" s="43">
        <v>15</v>
      </c>
      <c r="E66" s="43">
        <v>15</v>
      </c>
      <c r="F66" s="43">
        <v>15</v>
      </c>
      <c r="G66" s="43">
        <v>15</v>
      </c>
      <c r="H66" s="43">
        <v>15</v>
      </c>
      <c r="I66" s="43">
        <v>15</v>
      </c>
      <c r="J66" s="43">
        <v>15</v>
      </c>
      <c r="K66" s="43">
        <v>15</v>
      </c>
      <c r="L66" s="43">
        <v>15</v>
      </c>
      <c r="M66" s="43">
        <v>15</v>
      </c>
      <c r="N66" s="43">
        <v>15</v>
      </c>
      <c r="O66" s="43">
        <v>15</v>
      </c>
      <c r="P66" s="43">
        <f t="shared" si="16"/>
        <v>180</v>
      </c>
    </row>
    <row r="67" spans="1:16" x14ac:dyDescent="0.3">
      <c r="A67" s="1"/>
      <c r="B67" s="98" t="s">
        <v>54</v>
      </c>
      <c r="C67" s="42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>
        <f t="shared" si="16"/>
        <v>0</v>
      </c>
    </row>
    <row r="68" spans="1:16" x14ac:dyDescent="0.3">
      <c r="A68" s="1"/>
      <c r="B68" s="98" t="s">
        <v>55</v>
      </c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>
        <f t="shared" si="16"/>
        <v>0</v>
      </c>
    </row>
    <row r="69" spans="1:16" x14ac:dyDescent="0.3">
      <c r="A69" s="1"/>
      <c r="B69" s="98" t="s">
        <v>56</v>
      </c>
      <c r="C69" s="42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>
        <f t="shared" si="16"/>
        <v>0</v>
      </c>
    </row>
    <row r="70" spans="1:16" x14ac:dyDescent="0.3">
      <c r="A70" s="1"/>
      <c r="B70" s="98" t="s">
        <v>57</v>
      </c>
      <c r="C70" s="42"/>
      <c r="D70" s="43">
        <v>27</v>
      </c>
      <c r="E70" s="43">
        <v>27</v>
      </c>
      <c r="F70" s="43">
        <v>27</v>
      </c>
      <c r="G70" s="43">
        <v>27</v>
      </c>
      <c r="H70" s="43">
        <v>27</v>
      </c>
      <c r="I70" s="43">
        <v>27</v>
      </c>
      <c r="J70" s="43">
        <v>27</v>
      </c>
      <c r="K70" s="43">
        <v>27</v>
      </c>
      <c r="L70" s="43">
        <v>27</v>
      </c>
      <c r="M70" s="43">
        <v>27</v>
      </c>
      <c r="N70" s="43">
        <v>27</v>
      </c>
      <c r="O70" s="43">
        <v>27</v>
      </c>
      <c r="P70" s="43">
        <f t="shared" si="16"/>
        <v>324</v>
      </c>
    </row>
    <row r="71" spans="1:16" x14ac:dyDescent="0.3">
      <c r="A71" s="1"/>
      <c r="B71" s="98" t="s">
        <v>58</v>
      </c>
      <c r="C71" s="42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>
        <f t="shared" si="16"/>
        <v>0</v>
      </c>
    </row>
    <row r="72" spans="1:16" x14ac:dyDescent="0.3">
      <c r="A72" s="1"/>
      <c r="B72" s="98" t="s">
        <v>59</v>
      </c>
      <c r="C72" s="42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>
        <f t="shared" si="16"/>
        <v>0</v>
      </c>
    </row>
    <row r="73" spans="1:16" x14ac:dyDescent="0.3">
      <c r="A73" s="1"/>
      <c r="B73" s="98" t="s">
        <v>60</v>
      </c>
      <c r="C73" s="42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>
        <f t="shared" si="16"/>
        <v>0</v>
      </c>
    </row>
    <row r="74" spans="1:16" x14ac:dyDescent="0.3">
      <c r="A74" s="1"/>
      <c r="B74" s="98" t="s">
        <v>61</v>
      </c>
      <c r="C74" s="42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 t="shared" si="16"/>
        <v>0</v>
      </c>
    </row>
    <row r="75" spans="1:16" x14ac:dyDescent="0.3">
      <c r="A75" s="1"/>
      <c r="B75" s="98" t="s">
        <v>62</v>
      </c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>
        <f t="shared" si="16"/>
        <v>0</v>
      </c>
    </row>
    <row r="76" spans="1:16" x14ac:dyDescent="0.3">
      <c r="A76" s="1"/>
      <c r="B76" s="98" t="s">
        <v>63</v>
      </c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>
        <f t="shared" si="16"/>
        <v>0</v>
      </c>
    </row>
    <row r="77" spans="1:16" x14ac:dyDescent="0.3">
      <c r="A77" s="98" t="s">
        <v>17</v>
      </c>
      <c r="B77" s="98" t="s">
        <v>64</v>
      </c>
      <c r="C77" s="42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>
        <f t="shared" si="16"/>
        <v>0</v>
      </c>
    </row>
    <row r="78" spans="1:16" x14ac:dyDescent="0.3">
      <c r="A78" s="1"/>
      <c r="B78" s="98" t="s">
        <v>65</v>
      </c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86">
        <f t="shared" si="16"/>
        <v>0</v>
      </c>
    </row>
    <row r="79" spans="1:16" x14ac:dyDescent="0.3">
      <c r="A79" s="1"/>
      <c r="B79" s="1"/>
      <c r="C79" s="42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f t="shared" si="16"/>
        <v>0</v>
      </c>
    </row>
    <row r="80" spans="1:16" x14ac:dyDescent="0.3">
      <c r="A80" s="1"/>
      <c r="B80" s="98"/>
      <c r="C80" s="42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f t="shared" si="16"/>
        <v>0</v>
      </c>
    </row>
    <row r="81" spans="1:16" x14ac:dyDescent="0.3">
      <c r="A81" s="1"/>
      <c r="B81" s="98"/>
      <c r="C81" s="4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>
        <f t="shared" si="16"/>
        <v>0</v>
      </c>
    </row>
    <row r="82" spans="1:16" x14ac:dyDescent="0.3">
      <c r="A82" s="1"/>
      <c r="B82" s="98"/>
      <c r="C82" s="42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>
        <f t="shared" si="16"/>
        <v>0</v>
      </c>
    </row>
    <row r="83" spans="1:16" x14ac:dyDescent="0.3">
      <c r="A83" s="1"/>
      <c r="B83" s="98"/>
      <c r="C83" s="42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f t="shared" si="16"/>
        <v>0</v>
      </c>
    </row>
    <row r="84" spans="1:16" x14ac:dyDescent="0.3">
      <c r="A84" s="195" t="s">
        <v>66</v>
      </c>
      <c r="B84" s="195"/>
      <c r="C84" s="42"/>
      <c r="D84" s="28">
        <f>SUM(D56:D83)</f>
        <v>42</v>
      </c>
      <c r="E84" s="28">
        <f t="shared" ref="E84:P84" si="17">SUM(E56:E83)</f>
        <v>42</v>
      </c>
      <c r="F84" s="28">
        <f t="shared" si="17"/>
        <v>42</v>
      </c>
      <c r="G84" s="28">
        <f t="shared" si="17"/>
        <v>42</v>
      </c>
      <c r="H84" s="28">
        <f t="shared" si="17"/>
        <v>42</v>
      </c>
      <c r="I84" s="28">
        <f t="shared" si="17"/>
        <v>42</v>
      </c>
      <c r="J84" s="28">
        <f t="shared" si="17"/>
        <v>42</v>
      </c>
      <c r="K84" s="28">
        <f t="shared" si="17"/>
        <v>42</v>
      </c>
      <c r="L84" s="28">
        <f t="shared" si="17"/>
        <v>42</v>
      </c>
      <c r="M84" s="28">
        <f t="shared" si="17"/>
        <v>42</v>
      </c>
      <c r="N84" s="28">
        <f t="shared" si="17"/>
        <v>42</v>
      </c>
      <c r="O84" s="28">
        <f t="shared" si="17"/>
        <v>42</v>
      </c>
      <c r="P84" s="28">
        <f t="shared" si="17"/>
        <v>504</v>
      </c>
    </row>
    <row r="85" spans="1:16" x14ac:dyDescent="0.3">
      <c r="A85" s="195" t="s">
        <v>67</v>
      </c>
      <c r="B85" s="195"/>
      <c r="C85" s="42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x14ac:dyDescent="0.3">
      <c r="A86" s="1"/>
      <c r="B86" s="98" t="s">
        <v>68</v>
      </c>
      <c r="C86" s="42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>
        <f t="shared" ref="P86:P104" si="18">SUM(D86:O86)</f>
        <v>0</v>
      </c>
    </row>
    <row r="87" spans="1:16" x14ac:dyDescent="0.3">
      <c r="A87" s="1"/>
      <c r="B87" s="98" t="s">
        <v>69</v>
      </c>
      <c r="C87" s="42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>
        <f t="shared" si="18"/>
        <v>0</v>
      </c>
    </row>
    <row r="88" spans="1:16" x14ac:dyDescent="0.3">
      <c r="A88" s="1"/>
      <c r="B88" s="98" t="s">
        <v>70</v>
      </c>
      <c r="C88" s="42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>
        <f t="shared" si="18"/>
        <v>0</v>
      </c>
    </row>
    <row r="89" spans="1:16" x14ac:dyDescent="0.3">
      <c r="A89" s="1"/>
      <c r="B89" s="98" t="s">
        <v>71</v>
      </c>
      <c r="C89" s="42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>
        <f t="shared" si="18"/>
        <v>0</v>
      </c>
    </row>
    <row r="90" spans="1:16" x14ac:dyDescent="0.3">
      <c r="A90" s="1"/>
      <c r="B90" s="98" t="s">
        <v>72</v>
      </c>
      <c r="C90" s="42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>
        <f t="shared" si="18"/>
        <v>0</v>
      </c>
    </row>
    <row r="91" spans="1:16" x14ac:dyDescent="0.3">
      <c r="A91" s="1"/>
      <c r="B91" s="98" t="s">
        <v>73</v>
      </c>
      <c r="C91" s="42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>
        <f t="shared" si="18"/>
        <v>0</v>
      </c>
    </row>
    <row r="92" spans="1:16" x14ac:dyDescent="0.3">
      <c r="A92" s="1"/>
      <c r="B92" s="98" t="s">
        <v>74</v>
      </c>
      <c r="C92" s="42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>
        <f t="shared" si="18"/>
        <v>0</v>
      </c>
    </row>
    <row r="93" spans="1:16" x14ac:dyDescent="0.3">
      <c r="A93" s="1"/>
      <c r="B93" s="98" t="s">
        <v>75</v>
      </c>
      <c r="C93" s="42"/>
      <c r="D93" s="43">
        <v>8450</v>
      </c>
      <c r="E93" s="43">
        <v>8450</v>
      </c>
      <c r="F93" s="43">
        <v>8450</v>
      </c>
      <c r="G93" s="43">
        <v>8450</v>
      </c>
      <c r="H93" s="43">
        <v>8450</v>
      </c>
      <c r="I93" s="43">
        <v>8450</v>
      </c>
      <c r="J93" s="43">
        <v>8450</v>
      </c>
      <c r="K93" s="43">
        <v>8450</v>
      </c>
      <c r="L93" s="43">
        <v>8450</v>
      </c>
      <c r="M93" s="43">
        <v>8450</v>
      </c>
      <c r="N93" s="43">
        <v>8450</v>
      </c>
      <c r="O93" s="43">
        <v>8450</v>
      </c>
      <c r="P93" s="43">
        <f t="shared" si="18"/>
        <v>101400</v>
      </c>
    </row>
    <row r="94" spans="1:16" x14ac:dyDescent="0.3">
      <c r="A94" s="1"/>
      <c r="B94" s="98" t="s">
        <v>76</v>
      </c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>
        <f t="shared" si="18"/>
        <v>0</v>
      </c>
    </row>
    <row r="95" spans="1:16" x14ac:dyDescent="0.3">
      <c r="A95" s="1"/>
      <c r="B95" s="98" t="s">
        <v>77</v>
      </c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>
        <f t="shared" si="18"/>
        <v>0</v>
      </c>
    </row>
    <row r="96" spans="1:16" x14ac:dyDescent="0.3">
      <c r="A96" s="1"/>
      <c r="B96" s="98" t="s">
        <v>78</v>
      </c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>
        <f t="shared" si="18"/>
        <v>0</v>
      </c>
    </row>
    <row r="97" spans="1:16" x14ac:dyDescent="0.3">
      <c r="A97" s="1"/>
      <c r="B97" s="98" t="s">
        <v>79</v>
      </c>
      <c r="C97" s="42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>
        <f t="shared" si="18"/>
        <v>0</v>
      </c>
    </row>
    <row r="98" spans="1:16" x14ac:dyDescent="0.3">
      <c r="A98" s="1"/>
      <c r="B98" s="98" t="s">
        <v>80</v>
      </c>
      <c r="C98" s="42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>
        <f t="shared" si="18"/>
        <v>0</v>
      </c>
    </row>
    <row r="99" spans="1:16" x14ac:dyDescent="0.3">
      <c r="A99" s="1"/>
      <c r="B99" s="98" t="s">
        <v>81</v>
      </c>
      <c r="C99" s="42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>
        <f t="shared" si="18"/>
        <v>0</v>
      </c>
    </row>
    <row r="100" spans="1:16" x14ac:dyDescent="0.3">
      <c r="A100" s="1"/>
      <c r="B100" s="98" t="s">
        <v>82</v>
      </c>
      <c r="C100" s="42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>
        <f t="shared" si="18"/>
        <v>0</v>
      </c>
    </row>
    <row r="101" spans="1:16" x14ac:dyDescent="0.3">
      <c r="A101" s="1"/>
      <c r="B101" s="98" t="s">
        <v>83</v>
      </c>
      <c r="C101" s="42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>
        <f t="shared" si="18"/>
        <v>0</v>
      </c>
    </row>
    <row r="102" spans="1:16" x14ac:dyDescent="0.3">
      <c r="A102" s="1"/>
      <c r="B102" s="1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>
        <f t="shared" si="18"/>
        <v>0</v>
      </c>
    </row>
    <row r="103" spans="1:16" x14ac:dyDescent="0.3">
      <c r="A103" s="1"/>
      <c r="B103" s="98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>
        <f t="shared" si="18"/>
        <v>0</v>
      </c>
    </row>
    <row r="104" spans="1:16" x14ac:dyDescent="0.3">
      <c r="A104" s="1"/>
      <c r="B104" s="98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>
        <f t="shared" si="18"/>
        <v>0</v>
      </c>
    </row>
    <row r="105" spans="1:16" x14ac:dyDescent="0.3">
      <c r="A105" s="195" t="s">
        <v>84</v>
      </c>
      <c r="B105" s="195"/>
      <c r="C105" s="42"/>
      <c r="D105" s="30">
        <f>SUM(D86:D104)</f>
        <v>8450</v>
      </c>
      <c r="E105" s="30">
        <f t="shared" ref="E105:P105" si="19">SUM(E86:E104)</f>
        <v>8450</v>
      </c>
      <c r="F105" s="30">
        <f t="shared" si="19"/>
        <v>8450</v>
      </c>
      <c r="G105" s="30">
        <f t="shared" si="19"/>
        <v>8450</v>
      </c>
      <c r="H105" s="30">
        <f t="shared" si="19"/>
        <v>8450</v>
      </c>
      <c r="I105" s="30">
        <f t="shared" si="19"/>
        <v>8450</v>
      </c>
      <c r="J105" s="30">
        <f t="shared" si="19"/>
        <v>8450</v>
      </c>
      <c r="K105" s="30">
        <f t="shared" si="19"/>
        <v>8450</v>
      </c>
      <c r="L105" s="30">
        <f t="shared" si="19"/>
        <v>8450</v>
      </c>
      <c r="M105" s="30">
        <f t="shared" si="19"/>
        <v>8450</v>
      </c>
      <c r="N105" s="30">
        <f t="shared" si="19"/>
        <v>8450</v>
      </c>
      <c r="O105" s="30">
        <f t="shared" si="19"/>
        <v>8450</v>
      </c>
      <c r="P105" s="30">
        <f t="shared" si="19"/>
        <v>101400</v>
      </c>
    </row>
    <row r="106" spans="1:16" x14ac:dyDescent="0.3">
      <c r="A106" s="1"/>
      <c r="B106" s="98" t="s">
        <v>85</v>
      </c>
      <c r="C106" s="42"/>
      <c r="D106" s="30">
        <f>D105+D84+D53+D43</f>
        <v>12520.84692</v>
      </c>
      <c r="E106" s="30">
        <f t="shared" ref="E106:P106" si="20">E105+E84+E53+E43</f>
        <v>12520.850143200001</v>
      </c>
      <c r="F106" s="30">
        <f t="shared" si="20"/>
        <v>14530.2752148</v>
      </c>
      <c r="G106" s="30">
        <f t="shared" si="20"/>
        <v>12520.850143200001</v>
      </c>
      <c r="H106" s="30">
        <f t="shared" si="20"/>
        <v>12520.850143200001</v>
      </c>
      <c r="I106" s="30">
        <f t="shared" si="20"/>
        <v>12520.850143200001</v>
      </c>
      <c r="J106" s="30">
        <f t="shared" si="20"/>
        <v>12520.850143200001</v>
      </c>
      <c r="K106" s="30">
        <f t="shared" si="20"/>
        <v>14530.2752148</v>
      </c>
      <c r="L106" s="30">
        <f t="shared" si="20"/>
        <v>12520.850143200001</v>
      </c>
      <c r="M106" s="30">
        <f t="shared" si="20"/>
        <v>12520.850143200001</v>
      </c>
      <c r="N106" s="30">
        <f t="shared" si="20"/>
        <v>12520.850143200001</v>
      </c>
      <c r="O106" s="30">
        <f t="shared" si="20"/>
        <v>12520.850143200001</v>
      </c>
      <c r="P106" s="30">
        <f t="shared" si="20"/>
        <v>154269.04863839998</v>
      </c>
    </row>
    <row r="107" spans="1:16" x14ac:dyDescent="0.3">
      <c r="A107" s="1"/>
      <c r="B107" s="98" t="s">
        <v>86</v>
      </c>
      <c r="C107" s="42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x14ac:dyDescent="0.3">
      <c r="A108" s="42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ht="15" thickBot="1" x14ac:dyDescent="0.35">
      <c r="A109" s="42"/>
      <c r="B109" s="42" t="s">
        <v>112</v>
      </c>
      <c r="C109" s="42"/>
      <c r="D109" s="31">
        <f>D32-D106-D107</f>
        <v>2487.15308</v>
      </c>
      <c r="E109" s="31">
        <f t="shared" ref="E109:P109" si="21">E32-E106-E107</f>
        <v>729.14985679999882</v>
      </c>
      <c r="F109" s="31">
        <f t="shared" si="21"/>
        <v>-1280.2752148</v>
      </c>
      <c r="G109" s="31">
        <f t="shared" si="21"/>
        <v>729.14985679999882</v>
      </c>
      <c r="H109" s="31">
        <f t="shared" si="21"/>
        <v>729.14985679999882</v>
      </c>
      <c r="I109" s="31">
        <f t="shared" si="21"/>
        <v>729.14985679999882</v>
      </c>
      <c r="J109" s="31">
        <f t="shared" si="21"/>
        <v>729.14985679999882</v>
      </c>
      <c r="K109" s="31">
        <f t="shared" si="21"/>
        <v>477.72478520000004</v>
      </c>
      <c r="L109" s="31">
        <f t="shared" si="21"/>
        <v>436.14985679999882</v>
      </c>
      <c r="M109" s="31">
        <f t="shared" si="21"/>
        <v>436.14985679999882</v>
      </c>
      <c r="N109" s="31">
        <f t="shared" si="21"/>
        <v>436.14985679999882</v>
      </c>
      <c r="O109" s="31">
        <f t="shared" si="21"/>
        <v>436.14985679999882</v>
      </c>
      <c r="P109" s="31">
        <f t="shared" si="21"/>
        <v>7074.9513616000186</v>
      </c>
    </row>
    <row r="110" spans="1:16" ht="15" thickTop="1" x14ac:dyDescent="0.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</row>
    <row r="111" spans="1:16" x14ac:dyDescent="0.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</row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11"/>
  <sheetViews>
    <sheetView topLeftCell="A9" workbookViewId="0">
      <selection activeCell="R23" sqref="R23:S23"/>
    </sheetView>
  </sheetViews>
  <sheetFormatPr defaultRowHeight="14.4" x14ac:dyDescent="0.3"/>
  <sheetData>
    <row r="1" spans="1:17" x14ac:dyDescent="0.3">
      <c r="A1" s="42"/>
      <c r="B1" s="42"/>
      <c r="C1" s="42" t="s">
        <v>192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7" x14ac:dyDescent="0.3">
      <c r="A2" s="42"/>
      <c r="B2" s="42"/>
      <c r="C2" s="43" t="s">
        <v>191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x14ac:dyDescent="0.3">
      <c r="A3" s="42"/>
      <c r="B3" s="42"/>
      <c r="C3" s="42"/>
      <c r="D3" s="54" t="s">
        <v>100</v>
      </c>
      <c r="E3" s="54" t="s">
        <v>101</v>
      </c>
      <c r="F3" s="54" t="s">
        <v>102</v>
      </c>
      <c r="G3" s="54" t="s">
        <v>103</v>
      </c>
      <c r="H3" s="54" t="s">
        <v>104</v>
      </c>
      <c r="I3" s="54" t="s">
        <v>105</v>
      </c>
      <c r="J3" s="54" t="s">
        <v>106</v>
      </c>
      <c r="K3" s="54" t="s">
        <v>107</v>
      </c>
      <c r="L3" s="54" t="s">
        <v>108</v>
      </c>
      <c r="M3" s="54" t="s">
        <v>109</v>
      </c>
      <c r="N3" s="54" t="s">
        <v>110</v>
      </c>
      <c r="O3" s="54" t="s">
        <v>111</v>
      </c>
      <c r="P3" s="9" t="s">
        <v>113</v>
      </c>
      <c r="Q3" s="112"/>
    </row>
    <row r="4" spans="1:17" x14ac:dyDescent="0.3">
      <c r="A4" s="195" t="s">
        <v>99</v>
      </c>
      <c r="B4" s="195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x14ac:dyDescent="0.3">
      <c r="A5" s="195" t="s">
        <v>1</v>
      </c>
      <c r="B5" s="195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 x14ac:dyDescent="0.3">
      <c r="A6" s="1"/>
      <c r="B6" s="97" t="s">
        <v>2</v>
      </c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>
        <f>SUM(D6:O6)</f>
        <v>0</v>
      </c>
    </row>
    <row r="7" spans="1:17" x14ac:dyDescent="0.3">
      <c r="A7" s="1"/>
      <c r="B7" s="97" t="s">
        <v>204</v>
      </c>
      <c r="C7" s="42"/>
      <c r="D7" s="43">
        <f>D1*15.87*31</f>
        <v>0</v>
      </c>
      <c r="E7" s="43">
        <f>E1*15.87*28</f>
        <v>0</v>
      </c>
      <c r="F7" s="43">
        <f>F1*15.87*31</f>
        <v>0</v>
      </c>
      <c r="G7" s="43">
        <f>G1*15.87*30</f>
        <v>0</v>
      </c>
      <c r="H7" s="43">
        <f>H1*15.87*31</f>
        <v>0</v>
      </c>
      <c r="I7" s="43">
        <f>I1*15.87*30</f>
        <v>0</v>
      </c>
      <c r="J7" s="43">
        <f t="shared" ref="J7:O7" si="0">J1*15.87*31</f>
        <v>0</v>
      </c>
      <c r="K7" s="43">
        <f t="shared" si="0"/>
        <v>0</v>
      </c>
      <c r="L7" s="43">
        <f>L1*15.87*30</f>
        <v>0</v>
      </c>
      <c r="M7" s="43">
        <f t="shared" si="0"/>
        <v>0</v>
      </c>
      <c r="N7" s="43">
        <f>N1*15.87*30</f>
        <v>0</v>
      </c>
      <c r="O7" s="43">
        <f t="shared" si="0"/>
        <v>0</v>
      </c>
      <c r="P7" s="43">
        <f>SUM(E7:O7)</f>
        <v>0</v>
      </c>
    </row>
    <row r="8" spans="1:17" x14ac:dyDescent="0.3">
      <c r="A8" s="1"/>
      <c r="B8" s="97" t="s">
        <v>205</v>
      </c>
      <c r="C8" s="42"/>
      <c r="D8" s="43">
        <f>D2*45</f>
        <v>0</v>
      </c>
      <c r="E8" s="43">
        <f t="shared" ref="E8:O8" si="1">E2*45</f>
        <v>0</v>
      </c>
      <c r="F8" s="43">
        <f t="shared" si="1"/>
        <v>0</v>
      </c>
      <c r="G8" s="43">
        <f t="shared" si="1"/>
        <v>0</v>
      </c>
      <c r="H8" s="43">
        <f t="shared" si="1"/>
        <v>0</v>
      </c>
      <c r="I8" s="43">
        <f t="shared" si="1"/>
        <v>0</v>
      </c>
      <c r="J8" s="43">
        <f t="shared" si="1"/>
        <v>0</v>
      </c>
      <c r="K8" s="43">
        <f t="shared" si="1"/>
        <v>0</v>
      </c>
      <c r="L8" s="43">
        <f t="shared" si="1"/>
        <v>0</v>
      </c>
      <c r="M8" s="43">
        <f t="shared" si="1"/>
        <v>0</v>
      </c>
      <c r="N8" s="43">
        <f t="shared" si="1"/>
        <v>0</v>
      </c>
      <c r="O8" s="43">
        <f t="shared" si="1"/>
        <v>0</v>
      </c>
      <c r="P8" s="43">
        <f>SUM(E8:O8)</f>
        <v>0</v>
      </c>
    </row>
    <row r="9" spans="1:17" x14ac:dyDescent="0.3">
      <c r="A9" s="1"/>
      <c r="B9" s="97" t="s">
        <v>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>
        <f>SUM(E9:O9)</f>
        <v>0</v>
      </c>
    </row>
    <row r="10" spans="1:17" x14ac:dyDescent="0.3">
      <c r="A10" s="1"/>
      <c r="B10" s="97" t="s">
        <v>206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>SUM(E10:O10)</f>
        <v>0</v>
      </c>
    </row>
    <row r="11" spans="1:17" x14ac:dyDescent="0.3">
      <c r="A11" s="1"/>
      <c r="B11" s="97" t="s">
        <v>207</v>
      </c>
      <c r="C11" s="42"/>
      <c r="D11" s="43">
        <v>966</v>
      </c>
      <c r="E11" s="43">
        <v>966</v>
      </c>
      <c r="F11" s="43">
        <v>966</v>
      </c>
      <c r="G11" s="43">
        <v>966</v>
      </c>
      <c r="H11" s="43">
        <v>966</v>
      </c>
      <c r="I11" s="43">
        <v>966</v>
      </c>
      <c r="J11" s="43">
        <v>966</v>
      </c>
      <c r="K11" s="43">
        <v>966</v>
      </c>
      <c r="L11" s="43">
        <v>966</v>
      </c>
      <c r="M11" s="43">
        <v>966</v>
      </c>
      <c r="N11" s="43">
        <v>966</v>
      </c>
      <c r="O11" s="43">
        <v>966</v>
      </c>
      <c r="P11" s="43">
        <f>SUM(D11:O11)</f>
        <v>11592</v>
      </c>
    </row>
    <row r="12" spans="1:17" x14ac:dyDescent="0.3">
      <c r="A12" s="195" t="s">
        <v>6</v>
      </c>
      <c r="B12" s="195"/>
      <c r="C12" s="42"/>
      <c r="D12" s="28">
        <f>SUM(D6:D11)</f>
        <v>966</v>
      </c>
      <c r="E12" s="28">
        <f t="shared" ref="E12:P12" si="2">SUM(E6:E11)</f>
        <v>966</v>
      </c>
      <c r="F12" s="28">
        <f t="shared" si="2"/>
        <v>966</v>
      </c>
      <c r="G12" s="28">
        <f t="shared" si="2"/>
        <v>966</v>
      </c>
      <c r="H12" s="28">
        <f t="shared" si="2"/>
        <v>966</v>
      </c>
      <c r="I12" s="28">
        <f t="shared" si="2"/>
        <v>966</v>
      </c>
      <c r="J12" s="28">
        <f t="shared" si="2"/>
        <v>966</v>
      </c>
      <c r="K12" s="28">
        <f t="shared" si="2"/>
        <v>966</v>
      </c>
      <c r="L12" s="28">
        <f t="shared" si="2"/>
        <v>966</v>
      </c>
      <c r="M12" s="28">
        <f t="shared" si="2"/>
        <v>966</v>
      </c>
      <c r="N12" s="28">
        <f t="shared" si="2"/>
        <v>966</v>
      </c>
      <c r="O12" s="28">
        <f t="shared" si="2"/>
        <v>966</v>
      </c>
      <c r="P12" s="28">
        <f t="shared" si="2"/>
        <v>11592</v>
      </c>
    </row>
    <row r="13" spans="1:17" x14ac:dyDescent="0.3">
      <c r="A13" s="195" t="s">
        <v>7</v>
      </c>
      <c r="B13" s="195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7" x14ac:dyDescent="0.3">
      <c r="A14" s="1"/>
      <c r="B14" s="97" t="s">
        <v>8</v>
      </c>
      <c r="C14" s="42"/>
      <c r="D14" s="43">
        <f>3864+70</f>
        <v>3934</v>
      </c>
      <c r="E14" s="43">
        <f t="shared" ref="E14:O14" si="3">3864+70</f>
        <v>3934</v>
      </c>
      <c r="F14" s="43">
        <f t="shared" si="3"/>
        <v>3934</v>
      </c>
      <c r="G14" s="43">
        <f t="shared" si="3"/>
        <v>3934</v>
      </c>
      <c r="H14" s="43">
        <f t="shared" si="3"/>
        <v>3934</v>
      </c>
      <c r="I14" s="43">
        <f t="shared" si="3"/>
        <v>3934</v>
      </c>
      <c r="J14" s="43">
        <f t="shared" si="3"/>
        <v>3934</v>
      </c>
      <c r="K14" s="43">
        <f t="shared" si="3"/>
        <v>3934</v>
      </c>
      <c r="L14" s="43">
        <f t="shared" si="3"/>
        <v>3934</v>
      </c>
      <c r="M14" s="43">
        <f t="shared" si="3"/>
        <v>3934</v>
      </c>
      <c r="N14" s="43">
        <f t="shared" si="3"/>
        <v>3934</v>
      </c>
      <c r="O14" s="43">
        <f t="shared" si="3"/>
        <v>3934</v>
      </c>
      <c r="P14" s="43">
        <f>SUM(D14:O14)</f>
        <v>47208</v>
      </c>
    </row>
    <row r="15" spans="1:17" x14ac:dyDescent="0.3">
      <c r="A15" s="1"/>
      <c r="B15" s="97" t="s">
        <v>9</v>
      </c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>
        <f>SUM(D15:O15)</f>
        <v>0</v>
      </c>
    </row>
    <row r="16" spans="1:17" x14ac:dyDescent="0.3">
      <c r="A16" s="1"/>
      <c r="B16" s="97" t="s">
        <v>219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f>SUM(D16:O16)</f>
        <v>0</v>
      </c>
    </row>
    <row r="17" spans="1:16" x14ac:dyDescent="0.3">
      <c r="A17" s="1"/>
      <c r="B17" s="66" t="s">
        <v>16</v>
      </c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>
        <f>SUM(D17:O17)</f>
        <v>0</v>
      </c>
    </row>
    <row r="18" spans="1:16" x14ac:dyDescent="0.3">
      <c r="A18" s="195" t="s">
        <v>10</v>
      </c>
      <c r="B18" s="195"/>
      <c r="C18" s="42"/>
      <c r="D18" s="28">
        <f>SUM(D14:D17)</f>
        <v>3934</v>
      </c>
      <c r="E18" s="28">
        <f t="shared" ref="E18:P18" si="4">SUM(E14:E17)</f>
        <v>3934</v>
      </c>
      <c r="F18" s="28">
        <f t="shared" si="4"/>
        <v>3934</v>
      </c>
      <c r="G18" s="28">
        <f t="shared" si="4"/>
        <v>3934</v>
      </c>
      <c r="H18" s="28">
        <f t="shared" si="4"/>
        <v>3934</v>
      </c>
      <c r="I18" s="28">
        <f t="shared" si="4"/>
        <v>3934</v>
      </c>
      <c r="J18" s="28">
        <f t="shared" si="4"/>
        <v>3934</v>
      </c>
      <c r="K18" s="28">
        <f t="shared" si="4"/>
        <v>3934</v>
      </c>
      <c r="L18" s="28">
        <f t="shared" si="4"/>
        <v>3934</v>
      </c>
      <c r="M18" s="28">
        <f t="shared" si="4"/>
        <v>3934</v>
      </c>
      <c r="N18" s="28">
        <f t="shared" si="4"/>
        <v>3934</v>
      </c>
      <c r="O18" s="28">
        <f t="shared" si="4"/>
        <v>3934</v>
      </c>
      <c r="P18" s="28">
        <f t="shared" si="4"/>
        <v>47208</v>
      </c>
    </row>
    <row r="19" spans="1:16" x14ac:dyDescent="0.3">
      <c r="A19" s="195" t="s">
        <v>11</v>
      </c>
      <c r="B19" s="195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3">
      <c r="A20" s="1"/>
      <c r="B20" s="98" t="s">
        <v>12</v>
      </c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>
        <f t="shared" ref="P20:P25" si="5">SUM(D20:O20)</f>
        <v>0</v>
      </c>
    </row>
    <row r="21" spans="1:16" x14ac:dyDescent="0.3">
      <c r="A21" s="1"/>
      <c r="B21" s="98" t="s">
        <v>96</v>
      </c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>
        <f t="shared" si="5"/>
        <v>0</v>
      </c>
    </row>
    <row r="22" spans="1:16" x14ac:dyDescent="0.3">
      <c r="A22" s="1"/>
      <c r="B22" s="98" t="s">
        <v>97</v>
      </c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>
        <f t="shared" si="5"/>
        <v>0</v>
      </c>
    </row>
    <row r="23" spans="1:16" x14ac:dyDescent="0.3">
      <c r="A23" s="1"/>
      <c r="B23" s="98" t="s">
        <v>13</v>
      </c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>
        <f t="shared" si="5"/>
        <v>0</v>
      </c>
    </row>
    <row r="24" spans="1:16" x14ac:dyDescent="0.3">
      <c r="A24" s="1"/>
      <c r="B24" s="98" t="s">
        <v>14</v>
      </c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>
        <f t="shared" si="5"/>
        <v>0</v>
      </c>
    </row>
    <row r="25" spans="1:16" x14ac:dyDescent="0.3">
      <c r="A25" s="1"/>
      <c r="B25" s="1"/>
      <c r="C25" s="42"/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f t="shared" si="5"/>
        <v>0</v>
      </c>
    </row>
    <row r="26" spans="1:16" x14ac:dyDescent="0.3">
      <c r="A26" s="195" t="s">
        <v>15</v>
      </c>
      <c r="B26" s="195"/>
      <c r="C26" s="42"/>
      <c r="D26" s="28">
        <f>SUM(D20:D25)</f>
        <v>0</v>
      </c>
      <c r="E26" s="28">
        <f t="shared" ref="E26:P26" si="6">SUM(E20:E25)</f>
        <v>0</v>
      </c>
      <c r="F26" s="28">
        <f t="shared" si="6"/>
        <v>0</v>
      </c>
      <c r="G26" s="28">
        <f t="shared" si="6"/>
        <v>0</v>
      </c>
      <c r="H26" s="28">
        <f t="shared" si="6"/>
        <v>0</v>
      </c>
      <c r="I26" s="28">
        <f t="shared" si="6"/>
        <v>0</v>
      </c>
      <c r="J26" s="28">
        <f t="shared" si="6"/>
        <v>0</v>
      </c>
      <c r="K26" s="28">
        <f t="shared" si="6"/>
        <v>0</v>
      </c>
      <c r="L26" s="28">
        <f t="shared" si="6"/>
        <v>0</v>
      </c>
      <c r="M26" s="28">
        <f t="shared" si="6"/>
        <v>0</v>
      </c>
      <c r="N26" s="28">
        <f t="shared" si="6"/>
        <v>0</v>
      </c>
      <c r="O26" s="28">
        <f t="shared" si="6"/>
        <v>0</v>
      </c>
      <c r="P26" s="28">
        <f t="shared" si="6"/>
        <v>0</v>
      </c>
    </row>
    <row r="27" spans="1:16" x14ac:dyDescent="0.3">
      <c r="A27" s="195" t="s">
        <v>16</v>
      </c>
      <c r="B27" s="195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x14ac:dyDescent="0.3">
      <c r="A28" s="98" t="s">
        <v>17</v>
      </c>
      <c r="B28" s="98" t="s">
        <v>18</v>
      </c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>
        <f>SUM(D28:O28)</f>
        <v>0</v>
      </c>
    </row>
    <row r="29" spans="1:16" x14ac:dyDescent="0.3">
      <c r="A29" s="98" t="s">
        <v>17</v>
      </c>
      <c r="B29" s="98" t="s">
        <v>19</v>
      </c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>
        <f>SUM(D29:O29)</f>
        <v>0</v>
      </c>
    </row>
    <row r="30" spans="1:16" x14ac:dyDescent="0.3">
      <c r="A30" s="98" t="s">
        <v>17</v>
      </c>
      <c r="B30" s="98" t="s">
        <v>20</v>
      </c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>
        <f>SUM(D30:O30)</f>
        <v>0</v>
      </c>
    </row>
    <row r="31" spans="1:16" x14ac:dyDescent="0.3">
      <c r="A31" s="98" t="s">
        <v>17</v>
      </c>
      <c r="B31" s="98" t="s">
        <v>21</v>
      </c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>
        <f>SUM(D31:O31)</f>
        <v>0</v>
      </c>
    </row>
    <row r="32" spans="1:16" x14ac:dyDescent="0.3">
      <c r="A32" s="1"/>
      <c r="B32" s="1"/>
      <c r="C32" s="42"/>
      <c r="D32" s="30">
        <f>D12+D18+D26+D28+D29+D30+D31</f>
        <v>4900</v>
      </c>
      <c r="E32" s="30">
        <f t="shared" ref="E32:P32" si="7">E12+E18+E26+E28+E29+E30+E31</f>
        <v>4900</v>
      </c>
      <c r="F32" s="30">
        <f t="shared" si="7"/>
        <v>4900</v>
      </c>
      <c r="G32" s="30">
        <f t="shared" si="7"/>
        <v>4900</v>
      </c>
      <c r="H32" s="30">
        <f t="shared" si="7"/>
        <v>4900</v>
      </c>
      <c r="I32" s="30">
        <f t="shared" si="7"/>
        <v>4900</v>
      </c>
      <c r="J32" s="30">
        <f t="shared" si="7"/>
        <v>4900</v>
      </c>
      <c r="K32" s="30">
        <f t="shared" si="7"/>
        <v>4900</v>
      </c>
      <c r="L32" s="30">
        <f t="shared" si="7"/>
        <v>4900</v>
      </c>
      <c r="M32" s="30">
        <f t="shared" si="7"/>
        <v>4900</v>
      </c>
      <c r="N32" s="30">
        <f t="shared" si="7"/>
        <v>4900</v>
      </c>
      <c r="O32" s="30">
        <f t="shared" si="7"/>
        <v>4900</v>
      </c>
      <c r="P32" s="30">
        <f t="shared" si="7"/>
        <v>58800</v>
      </c>
    </row>
    <row r="33" spans="1:16" x14ac:dyDescent="0.3">
      <c r="A33" s="1"/>
      <c r="B33" s="1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x14ac:dyDescent="0.3">
      <c r="A34" s="195" t="s">
        <v>22</v>
      </c>
      <c r="B34" s="195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x14ac:dyDescent="0.3">
      <c r="A35" s="1"/>
      <c r="B35" s="98" t="s">
        <v>23</v>
      </c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>
        <f>SUM(D35:O35)</f>
        <v>0</v>
      </c>
    </row>
    <row r="36" spans="1:16" x14ac:dyDescent="0.3">
      <c r="A36" s="1"/>
      <c r="B36" s="98" t="s">
        <v>24</v>
      </c>
      <c r="C36" s="42"/>
      <c r="D36" s="43">
        <f>D35*0.0755</f>
        <v>0</v>
      </c>
      <c r="E36" s="43">
        <f t="shared" ref="E36:O36" si="8">E35*0.0755</f>
        <v>0</v>
      </c>
      <c r="F36" s="43">
        <f t="shared" si="8"/>
        <v>0</v>
      </c>
      <c r="G36" s="43">
        <f t="shared" si="8"/>
        <v>0</v>
      </c>
      <c r="H36" s="43">
        <f t="shared" si="8"/>
        <v>0</v>
      </c>
      <c r="I36" s="43">
        <f t="shared" si="8"/>
        <v>0</v>
      </c>
      <c r="J36" s="43">
        <f t="shared" si="8"/>
        <v>0</v>
      </c>
      <c r="K36" s="43">
        <f t="shared" si="8"/>
        <v>0</v>
      </c>
      <c r="L36" s="43">
        <f t="shared" si="8"/>
        <v>0</v>
      </c>
      <c r="M36" s="43">
        <f t="shared" si="8"/>
        <v>0</v>
      </c>
      <c r="N36" s="43">
        <f t="shared" si="8"/>
        <v>0</v>
      </c>
      <c r="O36" s="43">
        <f t="shared" si="8"/>
        <v>0</v>
      </c>
      <c r="P36" s="43">
        <f t="shared" ref="P36:P42" si="9">SUM(D36:O36)</f>
        <v>0</v>
      </c>
    </row>
    <row r="37" spans="1:16" x14ac:dyDescent="0.3">
      <c r="A37" s="1"/>
      <c r="B37" s="98" t="s">
        <v>25</v>
      </c>
      <c r="C37" s="42"/>
      <c r="D37" s="43">
        <f>D35*0.013</f>
        <v>0</v>
      </c>
      <c r="E37" s="43">
        <f t="shared" ref="E37:O37" si="10">E35*0.013</f>
        <v>0</v>
      </c>
      <c r="F37" s="43">
        <f t="shared" si="10"/>
        <v>0</v>
      </c>
      <c r="G37" s="43">
        <f t="shared" si="10"/>
        <v>0</v>
      </c>
      <c r="H37" s="43">
        <f t="shared" si="10"/>
        <v>0</v>
      </c>
      <c r="I37" s="43">
        <f t="shared" si="10"/>
        <v>0</v>
      </c>
      <c r="J37" s="43">
        <f t="shared" si="10"/>
        <v>0</v>
      </c>
      <c r="K37" s="43">
        <f t="shared" si="10"/>
        <v>0</v>
      </c>
      <c r="L37" s="43">
        <f t="shared" si="10"/>
        <v>0</v>
      </c>
      <c r="M37" s="43">
        <f t="shared" si="10"/>
        <v>0</v>
      </c>
      <c r="N37" s="43">
        <f t="shared" si="10"/>
        <v>0</v>
      </c>
      <c r="O37" s="43">
        <f t="shared" si="10"/>
        <v>0</v>
      </c>
      <c r="P37" s="43">
        <f t="shared" si="9"/>
        <v>0</v>
      </c>
    </row>
    <row r="38" spans="1:16" x14ac:dyDescent="0.3">
      <c r="A38" s="1"/>
      <c r="B38" s="98" t="s">
        <v>26</v>
      </c>
      <c r="C38" s="42"/>
      <c r="D38" s="43">
        <f>D35*0.0894</f>
        <v>0</v>
      </c>
      <c r="E38" s="43">
        <f t="shared" ref="E38:O38" si="11">E35*0.0894</f>
        <v>0</v>
      </c>
      <c r="F38" s="43">
        <f t="shared" si="11"/>
        <v>0</v>
      </c>
      <c r="G38" s="43">
        <f t="shared" si="11"/>
        <v>0</v>
      </c>
      <c r="H38" s="43">
        <f t="shared" si="11"/>
        <v>0</v>
      </c>
      <c r="I38" s="43">
        <f t="shared" si="11"/>
        <v>0</v>
      </c>
      <c r="J38" s="43">
        <f t="shared" si="11"/>
        <v>0</v>
      </c>
      <c r="K38" s="43">
        <f t="shared" si="11"/>
        <v>0</v>
      </c>
      <c r="L38" s="43">
        <f t="shared" si="11"/>
        <v>0</v>
      </c>
      <c r="M38" s="43">
        <f t="shared" si="11"/>
        <v>0</v>
      </c>
      <c r="N38" s="43">
        <f t="shared" si="11"/>
        <v>0</v>
      </c>
      <c r="O38" s="43">
        <f t="shared" si="11"/>
        <v>0</v>
      </c>
      <c r="P38" s="43">
        <f t="shared" si="9"/>
        <v>0</v>
      </c>
    </row>
    <row r="39" spans="1:16" x14ac:dyDescent="0.3">
      <c r="A39" s="1"/>
      <c r="B39" s="98" t="s">
        <v>27</v>
      </c>
      <c r="C39" s="42"/>
      <c r="D39" s="43">
        <f t="shared" ref="D39:O39" si="12">D35*0.0087</f>
        <v>0</v>
      </c>
      <c r="E39" s="43">
        <f t="shared" si="12"/>
        <v>0</v>
      </c>
      <c r="F39" s="43">
        <f t="shared" si="12"/>
        <v>0</v>
      </c>
      <c r="G39" s="43">
        <f t="shared" si="12"/>
        <v>0</v>
      </c>
      <c r="H39" s="43">
        <f t="shared" si="12"/>
        <v>0</v>
      </c>
      <c r="I39" s="43">
        <f t="shared" si="12"/>
        <v>0</v>
      </c>
      <c r="J39" s="43">
        <f t="shared" si="12"/>
        <v>0</v>
      </c>
      <c r="K39" s="43">
        <f t="shared" si="12"/>
        <v>0</v>
      </c>
      <c r="L39" s="43">
        <f t="shared" si="12"/>
        <v>0</v>
      </c>
      <c r="M39" s="43">
        <f t="shared" si="12"/>
        <v>0</v>
      </c>
      <c r="N39" s="43">
        <f t="shared" si="12"/>
        <v>0</v>
      </c>
      <c r="O39" s="43">
        <f t="shared" si="12"/>
        <v>0</v>
      </c>
      <c r="P39" s="43">
        <f t="shared" si="9"/>
        <v>0</v>
      </c>
    </row>
    <row r="40" spans="1:16" x14ac:dyDescent="0.3">
      <c r="A40" s="1"/>
      <c r="B40" s="98" t="s">
        <v>28</v>
      </c>
      <c r="C40" s="42"/>
      <c r="D40" s="43">
        <f>D35*0.0277</f>
        <v>0</v>
      </c>
      <c r="E40" s="43">
        <f t="shared" ref="E40:O40" si="13">E35*0.0277</f>
        <v>0</v>
      </c>
      <c r="F40" s="43">
        <f t="shared" si="13"/>
        <v>0</v>
      </c>
      <c r="G40" s="43">
        <f t="shared" si="13"/>
        <v>0</v>
      </c>
      <c r="H40" s="43">
        <f t="shared" si="13"/>
        <v>0</v>
      </c>
      <c r="I40" s="43">
        <f t="shared" si="13"/>
        <v>0</v>
      </c>
      <c r="J40" s="43">
        <f t="shared" si="13"/>
        <v>0</v>
      </c>
      <c r="K40" s="43">
        <f t="shared" si="13"/>
        <v>0</v>
      </c>
      <c r="L40" s="43">
        <f t="shared" si="13"/>
        <v>0</v>
      </c>
      <c r="M40" s="43">
        <f t="shared" si="13"/>
        <v>0</v>
      </c>
      <c r="N40" s="43">
        <f t="shared" si="13"/>
        <v>0</v>
      </c>
      <c r="O40" s="43">
        <f t="shared" si="13"/>
        <v>0</v>
      </c>
      <c r="P40" s="43">
        <f t="shared" si="9"/>
        <v>0</v>
      </c>
    </row>
    <row r="41" spans="1:16" x14ac:dyDescent="0.3">
      <c r="A41" s="1"/>
      <c r="B41" s="98" t="s">
        <v>29</v>
      </c>
      <c r="C41" s="42"/>
      <c r="D41" s="43">
        <f>D35*0.019</f>
        <v>0</v>
      </c>
      <c r="E41" s="43">
        <f t="shared" ref="E41:O41" si="14">E35*0.019</f>
        <v>0</v>
      </c>
      <c r="F41" s="43">
        <f t="shared" si="14"/>
        <v>0</v>
      </c>
      <c r="G41" s="43">
        <f t="shared" si="14"/>
        <v>0</v>
      </c>
      <c r="H41" s="43">
        <f t="shared" si="14"/>
        <v>0</v>
      </c>
      <c r="I41" s="43">
        <f t="shared" si="14"/>
        <v>0</v>
      </c>
      <c r="J41" s="43">
        <f t="shared" si="14"/>
        <v>0</v>
      </c>
      <c r="K41" s="43">
        <f t="shared" si="14"/>
        <v>0</v>
      </c>
      <c r="L41" s="43">
        <f t="shared" si="14"/>
        <v>0</v>
      </c>
      <c r="M41" s="43">
        <f t="shared" si="14"/>
        <v>0</v>
      </c>
      <c r="N41" s="43">
        <f t="shared" si="14"/>
        <v>0</v>
      </c>
      <c r="O41" s="43">
        <f t="shared" si="14"/>
        <v>0</v>
      </c>
      <c r="P41" s="43">
        <f t="shared" si="9"/>
        <v>0</v>
      </c>
    </row>
    <row r="42" spans="1:16" x14ac:dyDescent="0.3">
      <c r="A42" s="1"/>
      <c r="B42" s="98" t="s">
        <v>30</v>
      </c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>
        <f t="shared" si="9"/>
        <v>0</v>
      </c>
    </row>
    <row r="43" spans="1:16" x14ac:dyDescent="0.3">
      <c r="A43" s="195" t="s">
        <v>31</v>
      </c>
      <c r="B43" s="195"/>
      <c r="C43" s="42"/>
      <c r="D43" s="28">
        <f>SUM(D35:D42)</f>
        <v>0</v>
      </c>
      <c r="E43" s="28">
        <f t="shared" ref="E43:P43" si="15">SUM(E35:E42)</f>
        <v>0</v>
      </c>
      <c r="F43" s="28">
        <f t="shared" si="15"/>
        <v>0</v>
      </c>
      <c r="G43" s="28">
        <f t="shared" si="15"/>
        <v>0</v>
      </c>
      <c r="H43" s="28">
        <f t="shared" si="15"/>
        <v>0</v>
      </c>
      <c r="I43" s="28">
        <f t="shared" si="15"/>
        <v>0</v>
      </c>
      <c r="J43" s="28">
        <f t="shared" si="15"/>
        <v>0</v>
      </c>
      <c r="K43" s="28">
        <f t="shared" si="15"/>
        <v>0</v>
      </c>
      <c r="L43" s="28">
        <f t="shared" si="15"/>
        <v>0</v>
      </c>
      <c r="M43" s="28">
        <f t="shared" si="15"/>
        <v>0</v>
      </c>
      <c r="N43" s="28">
        <f t="shared" si="15"/>
        <v>0</v>
      </c>
      <c r="O43" s="28">
        <f t="shared" si="15"/>
        <v>0</v>
      </c>
      <c r="P43" s="28">
        <f t="shared" si="15"/>
        <v>0</v>
      </c>
    </row>
    <row r="44" spans="1:16" x14ac:dyDescent="0.3">
      <c r="A44" s="195" t="s">
        <v>32</v>
      </c>
      <c r="B44" s="195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3">
      <c r="A45" s="1"/>
      <c r="B45" s="98" t="s">
        <v>33</v>
      </c>
      <c r="C45" s="42"/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f t="shared" ref="P45:P52" si="16">SUM(D45:O45)</f>
        <v>0</v>
      </c>
    </row>
    <row r="46" spans="1:16" x14ac:dyDescent="0.3">
      <c r="A46" s="1"/>
      <c r="B46" s="98" t="s">
        <v>34</v>
      </c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>
        <f t="shared" si="16"/>
        <v>0</v>
      </c>
    </row>
    <row r="47" spans="1:16" x14ac:dyDescent="0.3">
      <c r="A47" s="1"/>
      <c r="B47" s="98" t="s">
        <v>35</v>
      </c>
      <c r="C47" s="42"/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f t="shared" si="16"/>
        <v>0</v>
      </c>
    </row>
    <row r="48" spans="1:16" x14ac:dyDescent="0.3">
      <c r="A48" s="1"/>
      <c r="B48" s="98" t="s">
        <v>36</v>
      </c>
      <c r="C48" s="42"/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f t="shared" si="16"/>
        <v>0</v>
      </c>
    </row>
    <row r="49" spans="1:16" x14ac:dyDescent="0.3">
      <c r="A49" s="1"/>
      <c r="B49" s="98" t="s">
        <v>37</v>
      </c>
      <c r="C49" s="42"/>
      <c r="D49" s="43">
        <v>10</v>
      </c>
      <c r="E49" s="43">
        <v>10</v>
      </c>
      <c r="F49" s="43">
        <v>10</v>
      </c>
      <c r="G49" s="43">
        <v>10</v>
      </c>
      <c r="H49" s="43">
        <v>10</v>
      </c>
      <c r="I49" s="43">
        <v>10</v>
      </c>
      <c r="J49" s="43">
        <v>10</v>
      </c>
      <c r="K49" s="43">
        <v>10</v>
      </c>
      <c r="L49" s="43">
        <v>10</v>
      </c>
      <c r="M49" s="43">
        <v>10</v>
      </c>
      <c r="N49" s="43">
        <v>10</v>
      </c>
      <c r="O49" s="43">
        <v>10</v>
      </c>
      <c r="P49" s="43">
        <f t="shared" si="16"/>
        <v>120</v>
      </c>
    </row>
    <row r="50" spans="1:16" x14ac:dyDescent="0.3">
      <c r="A50" s="1"/>
      <c r="B50" s="98" t="s">
        <v>194</v>
      </c>
      <c r="C50" s="42"/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f t="shared" si="16"/>
        <v>0</v>
      </c>
    </row>
    <row r="51" spans="1:16" x14ac:dyDescent="0.3">
      <c r="A51" s="1"/>
      <c r="B51" s="98" t="s">
        <v>38</v>
      </c>
      <c r="C51" s="42"/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f t="shared" si="16"/>
        <v>0</v>
      </c>
    </row>
    <row r="52" spans="1:16" x14ac:dyDescent="0.3">
      <c r="A52" s="1"/>
      <c r="B52" s="98" t="s">
        <v>39</v>
      </c>
      <c r="C52" s="42"/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f t="shared" si="16"/>
        <v>0</v>
      </c>
    </row>
    <row r="53" spans="1:16" x14ac:dyDescent="0.3">
      <c r="A53" s="195" t="s">
        <v>40</v>
      </c>
      <c r="B53" s="195"/>
      <c r="C53" s="42"/>
      <c r="D53" s="28">
        <f>SUM(D45:D52)</f>
        <v>10</v>
      </c>
      <c r="E53" s="28">
        <f t="shared" ref="E53:P53" si="17">SUM(E45:E52)</f>
        <v>10</v>
      </c>
      <c r="F53" s="28">
        <f t="shared" si="17"/>
        <v>10</v>
      </c>
      <c r="G53" s="28">
        <f t="shared" si="17"/>
        <v>10</v>
      </c>
      <c r="H53" s="28">
        <f t="shared" si="17"/>
        <v>10</v>
      </c>
      <c r="I53" s="28">
        <f t="shared" si="17"/>
        <v>10</v>
      </c>
      <c r="J53" s="28">
        <f t="shared" si="17"/>
        <v>10</v>
      </c>
      <c r="K53" s="28">
        <f t="shared" si="17"/>
        <v>10</v>
      </c>
      <c r="L53" s="28">
        <f t="shared" si="17"/>
        <v>10</v>
      </c>
      <c r="M53" s="28">
        <f t="shared" si="17"/>
        <v>10</v>
      </c>
      <c r="N53" s="28">
        <f t="shared" si="17"/>
        <v>10</v>
      </c>
      <c r="O53" s="28">
        <f t="shared" si="17"/>
        <v>10</v>
      </c>
      <c r="P53" s="28">
        <f t="shared" si="17"/>
        <v>120</v>
      </c>
    </row>
    <row r="54" spans="1:16" x14ac:dyDescent="0.3">
      <c r="A54" s="195" t="s">
        <v>41</v>
      </c>
      <c r="B54" s="195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x14ac:dyDescent="0.3">
      <c r="A55" s="1"/>
      <c r="B55" s="98" t="s">
        <v>42</v>
      </c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f t="shared" ref="P55:P83" si="18">SUM(D55:O55)</f>
        <v>0</v>
      </c>
    </row>
    <row r="56" spans="1:16" x14ac:dyDescent="0.3">
      <c r="A56" s="1"/>
      <c r="B56" s="98" t="s">
        <v>43</v>
      </c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>
        <f t="shared" si="18"/>
        <v>0</v>
      </c>
    </row>
    <row r="57" spans="1:16" x14ac:dyDescent="0.3">
      <c r="A57" s="1"/>
      <c r="B57" s="98" t="s">
        <v>44</v>
      </c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>
        <f t="shared" si="18"/>
        <v>0</v>
      </c>
    </row>
    <row r="58" spans="1:16" x14ac:dyDescent="0.3">
      <c r="A58" s="1"/>
      <c r="B58" s="98" t="s">
        <v>45</v>
      </c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>
        <f t="shared" si="18"/>
        <v>0</v>
      </c>
    </row>
    <row r="59" spans="1:16" x14ac:dyDescent="0.3">
      <c r="A59" s="1"/>
      <c r="B59" s="98" t="s">
        <v>46</v>
      </c>
      <c r="C59" s="42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f t="shared" si="18"/>
        <v>0</v>
      </c>
    </row>
    <row r="60" spans="1:16" x14ac:dyDescent="0.3">
      <c r="A60" s="1"/>
      <c r="B60" s="98" t="s">
        <v>47</v>
      </c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f t="shared" si="18"/>
        <v>0</v>
      </c>
    </row>
    <row r="61" spans="1:16" x14ac:dyDescent="0.3">
      <c r="A61" s="1"/>
      <c r="B61" s="98" t="s">
        <v>48</v>
      </c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f t="shared" si="18"/>
        <v>0</v>
      </c>
    </row>
    <row r="62" spans="1:16" x14ac:dyDescent="0.3">
      <c r="A62" s="1"/>
      <c r="B62" s="98" t="s">
        <v>49</v>
      </c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>
        <f t="shared" si="18"/>
        <v>0</v>
      </c>
    </row>
    <row r="63" spans="1:16" x14ac:dyDescent="0.3">
      <c r="A63" s="1"/>
      <c r="B63" s="98" t="s">
        <v>50</v>
      </c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f t="shared" si="18"/>
        <v>0</v>
      </c>
    </row>
    <row r="64" spans="1:16" x14ac:dyDescent="0.3">
      <c r="A64" s="1"/>
      <c r="B64" s="98" t="s">
        <v>51</v>
      </c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18"/>
        <v>0</v>
      </c>
    </row>
    <row r="65" spans="1:16" x14ac:dyDescent="0.3">
      <c r="A65" s="1"/>
      <c r="B65" s="98" t="s">
        <v>52</v>
      </c>
      <c r="C65" s="42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>
        <f t="shared" si="18"/>
        <v>0</v>
      </c>
    </row>
    <row r="66" spans="1:16" x14ac:dyDescent="0.3">
      <c r="A66" s="1"/>
      <c r="B66" s="98" t="s">
        <v>53</v>
      </c>
      <c r="C66" s="42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>
        <f t="shared" si="18"/>
        <v>0</v>
      </c>
    </row>
    <row r="67" spans="1:16" x14ac:dyDescent="0.3">
      <c r="A67" s="1"/>
      <c r="B67" s="98" t="s">
        <v>54</v>
      </c>
      <c r="C67" s="42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>
        <f t="shared" si="18"/>
        <v>0</v>
      </c>
    </row>
    <row r="68" spans="1:16" x14ac:dyDescent="0.3">
      <c r="A68" s="1"/>
      <c r="B68" s="98" t="s">
        <v>55</v>
      </c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>
        <f t="shared" si="18"/>
        <v>0</v>
      </c>
    </row>
    <row r="69" spans="1:16" x14ac:dyDescent="0.3">
      <c r="A69" s="1"/>
      <c r="B69" s="98" t="s">
        <v>56</v>
      </c>
      <c r="C69" s="42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>
        <f t="shared" si="18"/>
        <v>0</v>
      </c>
    </row>
    <row r="70" spans="1:16" x14ac:dyDescent="0.3">
      <c r="A70" s="1"/>
      <c r="B70" s="98" t="s">
        <v>57</v>
      </c>
      <c r="C70" s="42"/>
      <c r="D70" s="43">
        <v>27</v>
      </c>
      <c r="E70" s="43">
        <v>27</v>
      </c>
      <c r="F70" s="43">
        <v>27</v>
      </c>
      <c r="G70" s="43">
        <v>27</v>
      </c>
      <c r="H70" s="43">
        <v>27</v>
      </c>
      <c r="I70" s="43">
        <v>27</v>
      </c>
      <c r="J70" s="43">
        <v>27</v>
      </c>
      <c r="K70" s="43">
        <v>27</v>
      </c>
      <c r="L70" s="43">
        <v>27</v>
      </c>
      <c r="M70" s="43">
        <v>27</v>
      </c>
      <c r="N70" s="43">
        <v>27</v>
      </c>
      <c r="O70" s="43">
        <v>27</v>
      </c>
      <c r="P70" s="43">
        <f t="shared" si="18"/>
        <v>324</v>
      </c>
    </row>
    <row r="71" spans="1:16" x14ac:dyDescent="0.3">
      <c r="A71" s="1"/>
      <c r="B71" s="98" t="s">
        <v>58</v>
      </c>
      <c r="C71" s="42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>
        <f t="shared" si="18"/>
        <v>0</v>
      </c>
    </row>
    <row r="72" spans="1:16" x14ac:dyDescent="0.3">
      <c r="A72" s="1"/>
      <c r="B72" s="98" t="s">
        <v>59</v>
      </c>
      <c r="C72" s="42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>
        <f t="shared" si="18"/>
        <v>0</v>
      </c>
    </row>
    <row r="73" spans="1:16" x14ac:dyDescent="0.3">
      <c r="A73" s="1"/>
      <c r="B73" s="98" t="s">
        <v>60</v>
      </c>
      <c r="C73" s="42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>
        <f t="shared" si="18"/>
        <v>0</v>
      </c>
    </row>
    <row r="74" spans="1:16" x14ac:dyDescent="0.3">
      <c r="A74" s="1"/>
      <c r="B74" s="98" t="s">
        <v>61</v>
      </c>
      <c r="C74" s="42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 t="shared" si="18"/>
        <v>0</v>
      </c>
    </row>
    <row r="75" spans="1:16" x14ac:dyDescent="0.3">
      <c r="A75" s="1"/>
      <c r="B75" s="98" t="s">
        <v>62</v>
      </c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>
        <f t="shared" si="18"/>
        <v>0</v>
      </c>
    </row>
    <row r="76" spans="1:16" x14ac:dyDescent="0.3">
      <c r="A76" s="1"/>
      <c r="B76" s="98" t="s">
        <v>63</v>
      </c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>
        <f t="shared" si="18"/>
        <v>0</v>
      </c>
    </row>
    <row r="77" spans="1:16" x14ac:dyDescent="0.3">
      <c r="A77" s="98" t="s">
        <v>17</v>
      </c>
      <c r="B77" s="98" t="s">
        <v>64</v>
      </c>
      <c r="C77" s="42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>
        <f t="shared" si="18"/>
        <v>0</v>
      </c>
    </row>
    <row r="78" spans="1:16" x14ac:dyDescent="0.3">
      <c r="A78" s="1"/>
      <c r="B78" s="98" t="s">
        <v>65</v>
      </c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86">
        <f t="shared" si="18"/>
        <v>0</v>
      </c>
    </row>
    <row r="79" spans="1:16" x14ac:dyDescent="0.3">
      <c r="A79" s="1"/>
      <c r="B79" s="1"/>
      <c r="C79" s="42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f t="shared" si="18"/>
        <v>0</v>
      </c>
    </row>
    <row r="80" spans="1:16" x14ac:dyDescent="0.3">
      <c r="A80" s="1"/>
      <c r="B80" s="98"/>
      <c r="C80" s="42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f t="shared" si="18"/>
        <v>0</v>
      </c>
    </row>
    <row r="81" spans="1:16" x14ac:dyDescent="0.3">
      <c r="A81" s="1"/>
      <c r="B81" s="98"/>
      <c r="C81" s="4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>
        <f t="shared" si="18"/>
        <v>0</v>
      </c>
    </row>
    <row r="82" spans="1:16" x14ac:dyDescent="0.3">
      <c r="A82" s="1"/>
      <c r="B82" s="98"/>
      <c r="C82" s="42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>
        <f t="shared" si="18"/>
        <v>0</v>
      </c>
    </row>
    <row r="83" spans="1:16" x14ac:dyDescent="0.3">
      <c r="A83" s="1"/>
      <c r="B83" s="98"/>
      <c r="C83" s="42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f t="shared" si="18"/>
        <v>0</v>
      </c>
    </row>
    <row r="84" spans="1:16" x14ac:dyDescent="0.3">
      <c r="A84" s="195" t="s">
        <v>66</v>
      </c>
      <c r="B84" s="195"/>
      <c r="C84" s="42"/>
      <c r="D84" s="28">
        <f>SUM(D56:D83)</f>
        <v>27</v>
      </c>
      <c r="E84" s="28">
        <f t="shared" ref="E84:P84" si="19">SUM(E56:E83)</f>
        <v>27</v>
      </c>
      <c r="F84" s="28">
        <f t="shared" si="19"/>
        <v>27</v>
      </c>
      <c r="G84" s="28">
        <f t="shared" si="19"/>
        <v>27</v>
      </c>
      <c r="H84" s="28">
        <f t="shared" si="19"/>
        <v>27</v>
      </c>
      <c r="I84" s="28">
        <f t="shared" si="19"/>
        <v>27</v>
      </c>
      <c r="J84" s="28">
        <f t="shared" si="19"/>
        <v>27</v>
      </c>
      <c r="K84" s="28">
        <f t="shared" si="19"/>
        <v>27</v>
      </c>
      <c r="L84" s="28">
        <f t="shared" si="19"/>
        <v>27</v>
      </c>
      <c r="M84" s="28">
        <f t="shared" si="19"/>
        <v>27</v>
      </c>
      <c r="N84" s="28">
        <f t="shared" si="19"/>
        <v>27</v>
      </c>
      <c r="O84" s="28">
        <f t="shared" si="19"/>
        <v>27</v>
      </c>
      <c r="P84" s="28">
        <f t="shared" si="19"/>
        <v>324</v>
      </c>
    </row>
    <row r="85" spans="1:16" x14ac:dyDescent="0.3">
      <c r="A85" s="195" t="s">
        <v>67</v>
      </c>
      <c r="B85" s="195"/>
      <c r="C85" s="42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x14ac:dyDescent="0.3">
      <c r="A86" s="1"/>
      <c r="B86" s="98" t="s">
        <v>68</v>
      </c>
      <c r="C86" s="42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>
        <f t="shared" ref="P86:P104" si="20">SUM(D86:O86)</f>
        <v>0</v>
      </c>
    </row>
    <row r="87" spans="1:16" x14ac:dyDescent="0.3">
      <c r="A87" s="1"/>
      <c r="B87" s="98" t="s">
        <v>69</v>
      </c>
      <c r="C87" s="42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>
        <f t="shared" si="20"/>
        <v>0</v>
      </c>
    </row>
    <row r="88" spans="1:16" x14ac:dyDescent="0.3">
      <c r="A88" s="1"/>
      <c r="B88" s="98" t="s">
        <v>70</v>
      </c>
      <c r="C88" s="42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>
        <f t="shared" si="20"/>
        <v>0</v>
      </c>
    </row>
    <row r="89" spans="1:16" x14ac:dyDescent="0.3">
      <c r="A89" s="1"/>
      <c r="B89" s="98" t="s">
        <v>71</v>
      </c>
      <c r="C89" s="42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>
        <f t="shared" si="20"/>
        <v>0</v>
      </c>
    </row>
    <row r="90" spans="1:16" x14ac:dyDescent="0.3">
      <c r="A90" s="1"/>
      <c r="B90" s="98" t="s">
        <v>72</v>
      </c>
      <c r="C90" s="42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>
        <f t="shared" si="20"/>
        <v>0</v>
      </c>
    </row>
    <row r="91" spans="1:16" x14ac:dyDescent="0.3">
      <c r="A91" s="1"/>
      <c r="B91" s="98" t="s">
        <v>73</v>
      </c>
      <c r="C91" s="42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>
        <f t="shared" si="20"/>
        <v>0</v>
      </c>
    </row>
    <row r="92" spans="1:16" x14ac:dyDescent="0.3">
      <c r="A92" s="1"/>
      <c r="B92" s="98" t="s">
        <v>74</v>
      </c>
      <c r="C92" s="42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>
        <f t="shared" si="20"/>
        <v>0</v>
      </c>
    </row>
    <row r="93" spans="1:16" x14ac:dyDescent="0.3">
      <c r="A93" s="1"/>
      <c r="B93" s="98" t="s">
        <v>75</v>
      </c>
      <c r="C93" s="42"/>
      <c r="D93" s="43">
        <v>4830</v>
      </c>
      <c r="E93" s="43">
        <v>4830</v>
      </c>
      <c r="F93" s="43">
        <v>4830</v>
      </c>
      <c r="G93" s="43">
        <v>4830</v>
      </c>
      <c r="H93" s="43">
        <v>4830</v>
      </c>
      <c r="I93" s="43">
        <v>4830</v>
      </c>
      <c r="J93" s="43">
        <v>4830</v>
      </c>
      <c r="K93" s="43">
        <v>4830</v>
      </c>
      <c r="L93" s="43">
        <v>4830</v>
      </c>
      <c r="M93" s="43">
        <v>4830</v>
      </c>
      <c r="N93" s="43">
        <v>4830</v>
      </c>
      <c r="O93" s="43">
        <v>4830</v>
      </c>
      <c r="P93" s="43">
        <f t="shared" si="20"/>
        <v>57960</v>
      </c>
    </row>
    <row r="94" spans="1:16" x14ac:dyDescent="0.3">
      <c r="A94" s="1"/>
      <c r="B94" s="98" t="s">
        <v>76</v>
      </c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>
        <f t="shared" si="20"/>
        <v>0</v>
      </c>
    </row>
    <row r="95" spans="1:16" x14ac:dyDescent="0.3">
      <c r="A95" s="1"/>
      <c r="B95" s="98" t="s">
        <v>77</v>
      </c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>
        <f t="shared" si="20"/>
        <v>0</v>
      </c>
    </row>
    <row r="96" spans="1:16" x14ac:dyDescent="0.3">
      <c r="A96" s="1"/>
      <c r="B96" s="98" t="s">
        <v>78</v>
      </c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>
        <f t="shared" si="20"/>
        <v>0</v>
      </c>
    </row>
    <row r="97" spans="1:16" x14ac:dyDescent="0.3">
      <c r="A97" s="1"/>
      <c r="B97" s="98" t="s">
        <v>79</v>
      </c>
      <c r="C97" s="42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>
        <f t="shared" si="20"/>
        <v>0</v>
      </c>
    </row>
    <row r="98" spans="1:16" x14ac:dyDescent="0.3">
      <c r="A98" s="1"/>
      <c r="B98" s="98" t="s">
        <v>80</v>
      </c>
      <c r="C98" s="42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>
        <f t="shared" si="20"/>
        <v>0</v>
      </c>
    </row>
    <row r="99" spans="1:16" x14ac:dyDescent="0.3">
      <c r="A99" s="1"/>
      <c r="B99" s="98" t="s">
        <v>81</v>
      </c>
      <c r="C99" s="42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>
        <f t="shared" si="20"/>
        <v>0</v>
      </c>
    </row>
    <row r="100" spans="1:16" x14ac:dyDescent="0.3">
      <c r="A100" s="1"/>
      <c r="B100" s="98" t="s">
        <v>82</v>
      </c>
      <c r="C100" s="42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>
        <f t="shared" si="20"/>
        <v>0</v>
      </c>
    </row>
    <row r="101" spans="1:16" x14ac:dyDescent="0.3">
      <c r="A101" s="1"/>
      <c r="B101" s="98" t="s">
        <v>83</v>
      </c>
      <c r="C101" s="42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>
        <f t="shared" si="20"/>
        <v>0</v>
      </c>
    </row>
    <row r="102" spans="1:16" x14ac:dyDescent="0.3">
      <c r="A102" s="1"/>
      <c r="B102" s="1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>
        <f t="shared" si="20"/>
        <v>0</v>
      </c>
    </row>
    <row r="103" spans="1:16" x14ac:dyDescent="0.3">
      <c r="A103" s="1"/>
      <c r="B103" s="98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>
        <f t="shared" si="20"/>
        <v>0</v>
      </c>
    </row>
    <row r="104" spans="1:16" x14ac:dyDescent="0.3">
      <c r="A104" s="1"/>
      <c r="B104" s="98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>
        <f t="shared" si="20"/>
        <v>0</v>
      </c>
    </row>
    <row r="105" spans="1:16" x14ac:dyDescent="0.3">
      <c r="A105" s="195" t="s">
        <v>84</v>
      </c>
      <c r="B105" s="195"/>
      <c r="C105" s="42"/>
      <c r="D105" s="30">
        <f>SUM(D86:D104)</f>
        <v>4830</v>
      </c>
      <c r="E105" s="30">
        <f t="shared" ref="E105:P105" si="21">SUM(E86:E104)</f>
        <v>4830</v>
      </c>
      <c r="F105" s="30">
        <f t="shared" si="21"/>
        <v>4830</v>
      </c>
      <c r="G105" s="30">
        <f t="shared" si="21"/>
        <v>4830</v>
      </c>
      <c r="H105" s="30">
        <f t="shared" si="21"/>
        <v>4830</v>
      </c>
      <c r="I105" s="30">
        <f t="shared" si="21"/>
        <v>4830</v>
      </c>
      <c r="J105" s="30">
        <f t="shared" si="21"/>
        <v>4830</v>
      </c>
      <c r="K105" s="30">
        <f t="shared" si="21"/>
        <v>4830</v>
      </c>
      <c r="L105" s="30">
        <f t="shared" si="21"/>
        <v>4830</v>
      </c>
      <c r="M105" s="30">
        <f t="shared" si="21"/>
        <v>4830</v>
      </c>
      <c r="N105" s="30">
        <f t="shared" si="21"/>
        <v>4830</v>
      </c>
      <c r="O105" s="30">
        <f t="shared" si="21"/>
        <v>4830</v>
      </c>
      <c r="P105" s="30">
        <f t="shared" si="21"/>
        <v>57960</v>
      </c>
    </row>
    <row r="106" spans="1:16" x14ac:dyDescent="0.3">
      <c r="A106" s="1"/>
      <c r="B106" s="98" t="s">
        <v>85</v>
      </c>
      <c r="C106" s="42"/>
      <c r="D106" s="30">
        <f>D105+D84+D53+D43</f>
        <v>4867</v>
      </c>
      <c r="E106" s="30">
        <f t="shared" ref="E106:P106" si="22">E105+E84+E53+E43</f>
        <v>4867</v>
      </c>
      <c r="F106" s="30">
        <f t="shared" si="22"/>
        <v>4867</v>
      </c>
      <c r="G106" s="30">
        <f t="shared" si="22"/>
        <v>4867</v>
      </c>
      <c r="H106" s="30">
        <f t="shared" si="22"/>
        <v>4867</v>
      </c>
      <c r="I106" s="30">
        <f t="shared" si="22"/>
        <v>4867</v>
      </c>
      <c r="J106" s="30">
        <f t="shared" si="22"/>
        <v>4867</v>
      </c>
      <c r="K106" s="30">
        <f t="shared" si="22"/>
        <v>4867</v>
      </c>
      <c r="L106" s="30">
        <f t="shared" si="22"/>
        <v>4867</v>
      </c>
      <c r="M106" s="30">
        <f t="shared" si="22"/>
        <v>4867</v>
      </c>
      <c r="N106" s="30">
        <f t="shared" si="22"/>
        <v>4867</v>
      </c>
      <c r="O106" s="30">
        <f t="shared" si="22"/>
        <v>4867</v>
      </c>
      <c r="P106" s="30">
        <f t="shared" si="22"/>
        <v>58404</v>
      </c>
    </row>
    <row r="107" spans="1:16" x14ac:dyDescent="0.3">
      <c r="A107" s="1"/>
      <c r="B107" s="98" t="s">
        <v>86</v>
      </c>
      <c r="C107" s="42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x14ac:dyDescent="0.3">
      <c r="A108" s="42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ht="15" thickBot="1" x14ac:dyDescent="0.35">
      <c r="A109" s="42"/>
      <c r="B109" s="42" t="s">
        <v>112</v>
      </c>
      <c r="C109" s="42"/>
      <c r="D109" s="31">
        <f>D32-D106-D107</f>
        <v>33</v>
      </c>
      <c r="E109" s="31">
        <f t="shared" ref="E109:P109" si="23">E32-E106-E107</f>
        <v>33</v>
      </c>
      <c r="F109" s="31">
        <f t="shared" si="23"/>
        <v>33</v>
      </c>
      <c r="G109" s="31">
        <f t="shared" si="23"/>
        <v>33</v>
      </c>
      <c r="H109" s="31">
        <f t="shared" si="23"/>
        <v>33</v>
      </c>
      <c r="I109" s="31">
        <f t="shared" si="23"/>
        <v>33</v>
      </c>
      <c r="J109" s="31">
        <f t="shared" si="23"/>
        <v>33</v>
      </c>
      <c r="K109" s="31">
        <f t="shared" si="23"/>
        <v>33</v>
      </c>
      <c r="L109" s="31">
        <f t="shared" si="23"/>
        <v>33</v>
      </c>
      <c r="M109" s="31">
        <f t="shared" si="23"/>
        <v>33</v>
      </c>
      <c r="N109" s="31">
        <f t="shared" si="23"/>
        <v>33</v>
      </c>
      <c r="O109" s="31">
        <f t="shared" si="23"/>
        <v>33</v>
      </c>
      <c r="P109" s="31">
        <f t="shared" si="23"/>
        <v>396</v>
      </c>
    </row>
    <row r="110" spans="1:16" ht="15" thickTop="1" x14ac:dyDescent="0.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</row>
    <row r="111" spans="1:16" x14ac:dyDescent="0.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</row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10"/>
  <sheetViews>
    <sheetView topLeftCell="A81" workbookViewId="0">
      <selection activeCell="L75" sqref="L75"/>
    </sheetView>
  </sheetViews>
  <sheetFormatPr defaultRowHeight="14.4" x14ac:dyDescent="0.3"/>
  <cols>
    <col min="1" max="1" width="1.5546875" customWidth="1"/>
    <col min="2" max="2" width="20.44140625" customWidth="1"/>
    <col min="3" max="3" width="9.44140625" customWidth="1"/>
    <col min="4" max="4" width="9.5546875" bestFit="1" customWidth="1"/>
    <col min="16" max="16" width="9.5546875" bestFit="1" customWidth="1"/>
  </cols>
  <sheetData>
    <row r="1" spans="1:17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x14ac:dyDescent="0.3">
      <c r="A3" s="25"/>
      <c r="B3" s="25"/>
      <c r="C3" s="25"/>
      <c r="D3" s="22" t="s">
        <v>100</v>
      </c>
      <c r="E3" s="22" t="s">
        <v>101</v>
      </c>
      <c r="F3" s="22" t="s">
        <v>102</v>
      </c>
      <c r="G3" s="22" t="s">
        <v>103</v>
      </c>
      <c r="H3" s="22" t="s">
        <v>104</v>
      </c>
      <c r="I3" s="22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</row>
    <row r="4" spans="1:17" x14ac:dyDescent="0.3">
      <c r="A4" s="194" t="s">
        <v>99</v>
      </c>
      <c r="B4" s="19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x14ac:dyDescent="0.3">
      <c r="A5" s="194" t="s">
        <v>1</v>
      </c>
      <c r="B5" s="19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x14ac:dyDescent="0.3">
      <c r="A6" s="26"/>
      <c r="B6" s="94" t="s">
        <v>2</v>
      </c>
      <c r="C6" s="25"/>
      <c r="D6" s="25">
        <f>'Support Housing'!D6+'FC TOTAL'!D6+'SS Total'!D6+Comms!D6+Fundraising!D6+'Proj Dev'!D6+Admin_Total!D6</f>
        <v>166611.20193452056</v>
      </c>
      <c r="E6" s="25">
        <f>'Support Housing'!E6+'FC TOTAL'!E6+'SS Total'!E6+Comms!E6+Fundraising!E6+'Proj Dev'!E6+Admin_Total!E6</f>
        <v>150903.5124569863</v>
      </c>
      <c r="F6" s="25">
        <f>'Support Housing'!F6+'FC TOTAL'!F6+'SS Total'!F6+Comms!F6+Fundraising!F6+'Proj Dev'!F6+Admin_Total!F6</f>
        <v>167183.12093452056</v>
      </c>
      <c r="G6" s="25">
        <f>'Support Housing'!G6+'FC TOTAL'!G6+'SS Total'!G6+Comms!G6+Fundraising!G6+'Proj Dev'!G6+Admin_Total!G6</f>
        <v>162217.14477534249</v>
      </c>
      <c r="H6" s="25">
        <f>'Support Housing'!H6+'FC TOTAL'!H6+'SS Total'!H6+Comms!H6+Fundraising!H6+'Proj Dev'!H6+Admin_Total!H6</f>
        <v>167829.54843452055</v>
      </c>
      <c r="I6" s="25">
        <f>'Support Housing'!I6+'FC TOTAL'!I6+'SS Total'!I6+Comms!I6+Fundraising!I6+'Proj Dev'!I6+Admin_Total!I6</f>
        <v>162565.62377534248</v>
      </c>
      <c r="J6" s="25">
        <f>'Support Housing'!J6+'FC TOTAL'!J6+'SS Total'!J6+Comms!J6+Fundraising!J6+'Proj Dev'!J6+Admin_Total!J6</f>
        <v>167829.54843452055</v>
      </c>
      <c r="K6" s="25">
        <f>'Support Housing'!K6+'FC TOTAL'!K6+'SS Total'!K6+Comms!K6+Fundraising!K6+'Proj Dev'!K6+Admin_Total!K6</f>
        <v>167829.54843452055</v>
      </c>
      <c r="L6" s="25">
        <f>'Support Housing'!L6+'FC TOTAL'!L6+'SS Total'!L6+Comms!L6+Fundraising!L6+'Proj Dev'!L6+Admin_Total!L6</f>
        <v>162565.62377534248</v>
      </c>
      <c r="M6" s="25">
        <f>'Support Housing'!M6+'FC TOTAL'!M6+'SS Total'!M6+Comms!M6+Fundraising!M6+'Proj Dev'!M6+Admin_Total!M6</f>
        <v>167829.54843452055</v>
      </c>
      <c r="N6" s="25">
        <f>'Support Housing'!N6+'FC TOTAL'!N6+'SS Total'!N6+Comms!N6+Fundraising!N6+'Proj Dev'!N6+Admin_Total!N6</f>
        <v>162565.62377534248</v>
      </c>
      <c r="O6" s="25">
        <f>'Support Housing'!O6+'FC TOTAL'!O6+'SS Total'!O6+Comms!O6+Fundraising!O6+'Proj Dev'!O6+Admin_Total!O6</f>
        <v>167860.5059687671</v>
      </c>
      <c r="P6" s="25">
        <f t="shared" ref="P6:P11" si="0">SUM(D6:O6)</f>
        <v>1973790.5511342469</v>
      </c>
    </row>
    <row r="7" spans="1:17" x14ac:dyDescent="0.3">
      <c r="A7" s="26"/>
      <c r="B7" s="94" t="s">
        <v>204</v>
      </c>
      <c r="C7" s="25"/>
      <c r="D7" s="25">
        <f>'Support Housing'!D7+'FC TOTAL'!D7+'SS Total'!D7+Comms!D7+Fundraising!D7+'Proj Dev'!D7+Admin_Total!D7</f>
        <v>37881.689999999995</v>
      </c>
      <c r="E7" s="25">
        <f>'Support Housing'!E7+'FC TOTAL'!E7+'SS Total'!E7+Comms!E7+Fundraising!E7+'Proj Dev'!E7+Admin_Total!E7</f>
        <v>34215.719999999994</v>
      </c>
      <c r="F7" s="25">
        <f>'Support Housing'!F7+'FC TOTAL'!F7+'SS Total'!F7+Comms!F7+Fundraising!F7+'Proj Dev'!F7+Admin_Total!F7</f>
        <v>37881.689999999995</v>
      </c>
      <c r="G7" s="25">
        <f>'Support Housing'!G7+'FC TOTAL'!G7+'SS Total'!G7+Comms!G7+Fundraising!G7+'Proj Dev'!G7+Admin_Total!G7</f>
        <v>36659.699999999997</v>
      </c>
      <c r="H7" s="25">
        <f>'Support Housing'!H7+'FC TOTAL'!H7+'SS Total'!H7+Comms!H7+Fundraising!H7+'Proj Dev'!H7+Admin_Total!H7</f>
        <v>37881.689999999995</v>
      </c>
      <c r="I7" s="43">
        <f>'Support Housing'!I7+'FC TOTAL'!I7+'SS Total'!I7+Comms!I7+Fundraising!I7+'Proj Dev'!I7+Admin_Total!I7</f>
        <v>36659.699999999997</v>
      </c>
      <c r="J7" s="25">
        <f>'Support Housing'!J7+'FC TOTAL'!J7+'SS Total'!J7+Comms!J7+Fundraising!J7+'Proj Dev'!J7+Admin_Total!J7</f>
        <v>37881.689999999995</v>
      </c>
      <c r="K7" s="25">
        <f>'Support Housing'!K7+'FC TOTAL'!K7+'SS Total'!K7+Comms!K7+Fundraising!K7+'Proj Dev'!K7+Admin_Total!K7</f>
        <v>37881.689999999995</v>
      </c>
      <c r="L7" s="25">
        <f>'Support Housing'!L7+'FC TOTAL'!L7+'SS Total'!L7+Comms!L7+Fundraising!L7+'Proj Dev'!L7+Admin_Total!L7</f>
        <v>36659.699999999997</v>
      </c>
      <c r="M7" s="25">
        <f>'Support Housing'!M7+'FC TOTAL'!M7+'SS Total'!M7+Comms!M7+Fundraising!M7+'Proj Dev'!M7+Admin_Total!M7</f>
        <v>37881.689999999995</v>
      </c>
      <c r="N7" s="25">
        <f>'Support Housing'!N7+'FC TOTAL'!N7+'SS Total'!N7+Comms!N7+Fundraising!N7+'Proj Dev'!N7+Admin_Total!N7</f>
        <v>36659.699999999997</v>
      </c>
      <c r="O7" s="25">
        <f>'Support Housing'!O7+'FC TOTAL'!O7+'SS Total'!O7+Comms!O7+Fundraising!O7+'Proj Dev'!O7+Admin_Total!O7</f>
        <v>37881.689999999995</v>
      </c>
      <c r="P7" s="25">
        <f t="shared" si="0"/>
        <v>446026.35000000003</v>
      </c>
      <c r="Q7" s="43" t="e">
        <f>#REF!-P7</f>
        <v>#REF!</v>
      </c>
    </row>
    <row r="8" spans="1:17" s="42" customFormat="1" x14ac:dyDescent="0.3">
      <c r="A8" s="26"/>
      <c r="B8" s="94" t="s">
        <v>205</v>
      </c>
      <c r="C8" s="43"/>
      <c r="D8" s="43">
        <f>'Support Housing'!D8+'FC TOTAL'!D8+'SS Total'!D8+Comms!D8+Fundraising!D8+'Proj Dev'!D8+Admin_Total!D8</f>
        <v>4392</v>
      </c>
      <c r="E8" s="43">
        <f>'Support Housing'!E8+'FC TOTAL'!E8+'SS Total'!E8+Comms!E8+Fundraising!E8+'Proj Dev'!E8+Admin_Total!E8</f>
        <v>4302</v>
      </c>
      <c r="F8" s="43">
        <f>'Support Housing'!F8+'FC TOTAL'!F8+'SS Total'!F8+Comms!F8+Fundraising!F8+'Proj Dev'!F8+Admin_Total!F8</f>
        <v>4302</v>
      </c>
      <c r="G8" s="43">
        <f>'Support Housing'!G8+'FC TOTAL'!G8+'SS Total'!G8+Comms!G8+Fundraising!G8+'Proj Dev'!G8+Admin_Total!G8</f>
        <v>4302</v>
      </c>
      <c r="H8" s="43">
        <f>'Support Housing'!H8+'FC TOTAL'!H8+'SS Total'!H8+Comms!H8+Fundraising!H8+'Proj Dev'!H8+Admin_Total!H8</f>
        <v>4302</v>
      </c>
      <c r="I8" s="43">
        <f>'Support Housing'!I8+'FC TOTAL'!I8+'SS Total'!I8+Comms!I8+Fundraising!I8+'Proj Dev'!I8+Admin_Total!I8</f>
        <v>4302</v>
      </c>
      <c r="J8" s="43">
        <f>'Support Housing'!J8+'FC TOTAL'!J8+'SS Total'!J8+Comms!J8+Fundraising!J8+'Proj Dev'!J8+Admin_Total!J8</f>
        <v>4302</v>
      </c>
      <c r="K8" s="43">
        <f>'Support Housing'!K8+'FC TOTAL'!K8+'SS Total'!K8+Comms!K8+Fundraising!K8+'Proj Dev'!K8+Admin_Total!K8</f>
        <v>4302</v>
      </c>
      <c r="L8" s="43">
        <f>'Support Housing'!L8+'FC TOTAL'!L8+'SS Total'!L8+Comms!L8+Fundraising!L8+'Proj Dev'!L8+Admin_Total!L8</f>
        <v>4302</v>
      </c>
      <c r="M8" s="43">
        <f>'Support Housing'!M8+'FC TOTAL'!M8+'SS Total'!M8+Comms!M8+Fundraising!M8+'Proj Dev'!M8+Admin_Total!M8</f>
        <v>4302</v>
      </c>
      <c r="N8" s="43">
        <f>'Support Housing'!N8+'FC TOTAL'!N8+'SS Total'!N8+Comms!N8+Fundraising!N8+'Proj Dev'!N8+Admin_Total!N8</f>
        <v>4302</v>
      </c>
      <c r="O8" s="43">
        <f>'Support Housing'!O8+'FC TOTAL'!O8+'SS Total'!O8+Comms!O8+Fundraising!O8+'Proj Dev'!O8+Admin_Total!O8</f>
        <v>4302</v>
      </c>
      <c r="P8" s="43">
        <f t="shared" si="0"/>
        <v>51714</v>
      </c>
    </row>
    <row r="9" spans="1:17" x14ac:dyDescent="0.3">
      <c r="A9" s="26"/>
      <c r="B9" s="94" t="s">
        <v>4</v>
      </c>
      <c r="C9" s="25"/>
      <c r="D9" s="43">
        <f>'Support Housing'!D9+'FC TOTAL'!D9+'SS Total'!D9+Comms!D9+Fundraising!D9+'Proj Dev'!D9+Admin_Total!D9</f>
        <v>10510.8</v>
      </c>
      <c r="E9" s="43">
        <f>'Support Housing'!E9+'FC TOTAL'!E9+'SS Total'!E9+Comms!E9+Fundraising!E9+'Proj Dev'!E9+Admin_Total!E9</f>
        <v>10510.8</v>
      </c>
      <c r="F9" s="43">
        <f>'Support Housing'!F9+'FC TOTAL'!F9+'SS Total'!F9+Comms!F9+Fundraising!F9+'Proj Dev'!F9+Admin_Total!F9</f>
        <v>10510.8</v>
      </c>
      <c r="G9" s="43">
        <f>'Support Housing'!G9+'FC TOTAL'!G9+'SS Total'!G9+Comms!G9+Fundraising!G9+'Proj Dev'!G9+Admin_Total!G9</f>
        <v>10510.8</v>
      </c>
      <c r="H9" s="43">
        <f>'Support Housing'!H9+'FC TOTAL'!H9+'SS Total'!H9+Comms!H9+Fundraising!H9+'Proj Dev'!H9+Admin_Total!H9</f>
        <v>10510.8</v>
      </c>
      <c r="I9" s="43">
        <f>'Support Housing'!I9+'FC TOTAL'!I9+'SS Total'!I9+Comms!I9+Fundraising!I9+'Proj Dev'!I9+Admin_Total!I9</f>
        <v>10510.8</v>
      </c>
      <c r="J9" s="43">
        <f>'Support Housing'!J9+'FC TOTAL'!J9+'SS Total'!J9+Comms!J9+Fundraising!J9+'Proj Dev'!J9+Admin_Total!J9</f>
        <v>10510.8</v>
      </c>
      <c r="K9" s="43">
        <f>'Support Housing'!K9+'FC TOTAL'!K9+'SS Total'!K9+Comms!K9+Fundraising!K9+'Proj Dev'!K9+Admin_Total!K9</f>
        <v>10510.8</v>
      </c>
      <c r="L9" s="43">
        <f>'Support Housing'!L9+'FC TOTAL'!L9+'SS Total'!L9+Comms!L9+Fundraising!L9+'Proj Dev'!L9+Admin_Total!L9</f>
        <v>10510.8</v>
      </c>
      <c r="M9" s="43">
        <f>'Support Housing'!M9+'FC TOTAL'!M9+'SS Total'!M9+Comms!M9+Fundraising!M9+'Proj Dev'!M9+Admin_Total!M9</f>
        <v>10510.8</v>
      </c>
      <c r="N9" s="43">
        <f>'Support Housing'!N9+'FC TOTAL'!N9+'SS Total'!N9+Comms!N9+Fundraising!N9+'Proj Dev'!N9+Admin_Total!N9</f>
        <v>10510.8</v>
      </c>
      <c r="O9" s="43">
        <f>'Support Housing'!O9+'FC TOTAL'!O9+'SS Total'!O9+Comms!O9+Fundraising!O9+'Proj Dev'!O9+Admin_Total!O9</f>
        <v>10510.8</v>
      </c>
      <c r="P9" s="43">
        <f t="shared" si="0"/>
        <v>126129.60000000002</v>
      </c>
    </row>
    <row r="10" spans="1:17" s="42" customFormat="1" x14ac:dyDescent="0.3">
      <c r="A10" s="26"/>
      <c r="B10" s="94" t="s">
        <v>206</v>
      </c>
      <c r="C10" s="43"/>
      <c r="D10" s="43">
        <f>'Support Housing'!D10+'FC TOTAL'!D10+'SS Total'!D10+Comms!D10+Fundraising!D10+'Proj Dev'!D10+Admin_Total!D10</f>
        <v>615</v>
      </c>
      <c r="E10" s="43">
        <f>'Support Housing'!E10+'FC TOTAL'!E10+'SS Total'!E10+Comms!E10+Fundraising!E10+'Proj Dev'!E10+Admin_Total!E10</f>
        <v>615</v>
      </c>
      <c r="F10" s="43">
        <f>'Support Housing'!F10+'FC TOTAL'!F10+'SS Total'!F10+Comms!F10+Fundraising!F10+'Proj Dev'!F10+Admin_Total!F10</f>
        <v>19656.61</v>
      </c>
      <c r="G10" s="43">
        <f>'Support Housing'!G10+'FC TOTAL'!G10+'SS Total'!G10+Comms!G10+Fundraising!G10+'Proj Dev'!G10+Admin_Total!G10</f>
        <v>615</v>
      </c>
      <c r="H10" s="43">
        <f>'Support Housing'!H10+'FC TOTAL'!H10+'SS Total'!H10+Comms!H10+Fundraising!H10+'Proj Dev'!H10+Admin_Total!H10</f>
        <v>615</v>
      </c>
      <c r="I10" s="43">
        <f>'Support Housing'!I10+'FC TOTAL'!I10+'SS Total'!I10+Comms!I10+Fundraising!I10+'Proj Dev'!I10+Admin_Total!I10</f>
        <v>615</v>
      </c>
      <c r="J10" s="43">
        <f>'Support Housing'!J10+'FC TOTAL'!J10+'SS Total'!J10+Comms!J10+Fundraising!J10+'Proj Dev'!J10+Admin_Total!J10</f>
        <v>615</v>
      </c>
      <c r="K10" s="43">
        <f>'Support Housing'!K10+'FC TOTAL'!K10+'SS Total'!K10+Comms!K10+Fundraising!K10+'Proj Dev'!K10+Admin_Total!K10</f>
        <v>615</v>
      </c>
      <c r="L10" s="43">
        <f>'Support Housing'!L10+'FC TOTAL'!L10+'SS Total'!L10+Comms!L10+Fundraising!L10+'Proj Dev'!L10+Admin_Total!L10</f>
        <v>615</v>
      </c>
      <c r="M10" s="43">
        <f>'Support Housing'!M10+'FC TOTAL'!M10+'SS Total'!M10+Comms!M10+Fundraising!M10+'Proj Dev'!M10+Admin_Total!M10</f>
        <v>615</v>
      </c>
      <c r="N10" s="43">
        <f>'Support Housing'!N10+'FC TOTAL'!N10+'SS Total'!N10+Comms!N10+Fundraising!N10+'Proj Dev'!N10+Admin_Total!N10</f>
        <v>615</v>
      </c>
      <c r="O10" s="43">
        <f>'Support Housing'!O10+'FC TOTAL'!O10+'SS Total'!O10+Comms!O10+Fundraising!O10+'Proj Dev'!O10+Admin_Total!O10</f>
        <v>615</v>
      </c>
      <c r="P10" s="43">
        <f t="shared" si="0"/>
        <v>26421.61</v>
      </c>
    </row>
    <row r="11" spans="1:17" x14ac:dyDescent="0.3">
      <c r="A11" s="26"/>
      <c r="B11" s="94" t="s">
        <v>207</v>
      </c>
      <c r="C11" s="25"/>
      <c r="D11" s="43">
        <f>'Support Housing'!D11+'FC TOTAL'!D11+'SS Total'!D11+Comms!D11+Fundraising!D11+'Proj Dev'!D11+Admin_Total!D11</f>
        <v>5454</v>
      </c>
      <c r="E11" s="43">
        <f>'Support Housing'!E11+'FC TOTAL'!E11+'SS Total'!E11+Comms!E11+Fundraising!E11+'Proj Dev'!E11+Admin_Total!E11</f>
        <v>5454</v>
      </c>
      <c r="F11" s="43">
        <f>'Support Housing'!F11+'FC TOTAL'!F11+'SS Total'!F11+Comms!F11+Fundraising!F11+'Proj Dev'!F11+Admin_Total!F11</f>
        <v>5454</v>
      </c>
      <c r="G11" s="43">
        <f>'Support Housing'!G11+'FC TOTAL'!G11+'SS Total'!G11+Comms!G11+Fundraising!G11+'Proj Dev'!G11+Admin_Total!G11</f>
        <v>5454</v>
      </c>
      <c r="H11" s="43">
        <f>'Support Housing'!H11+'FC TOTAL'!H11+'SS Total'!H11+Comms!H11+Fundraising!H11+'Proj Dev'!H11+Admin_Total!H11</f>
        <v>5454</v>
      </c>
      <c r="I11" s="43">
        <f>'Support Housing'!I11+'FC TOTAL'!I11+'SS Total'!I11+Comms!I11+Fundraising!I11+'Proj Dev'!I11+Admin_Total!I11</f>
        <v>5454</v>
      </c>
      <c r="J11" s="43">
        <f>'Support Housing'!J11+'FC TOTAL'!J11+'SS Total'!J11+Comms!J11+Fundraising!J11+'Proj Dev'!J11+Admin_Total!J11</f>
        <v>5454</v>
      </c>
      <c r="K11" s="43">
        <f>'Support Housing'!K11+'FC TOTAL'!K11+'SS Total'!K11+Comms!K11+Fundraising!K11+'Proj Dev'!K11+Admin_Total!K11</f>
        <v>5454</v>
      </c>
      <c r="L11" s="43">
        <f>'Support Housing'!L11+'FC TOTAL'!L11+'SS Total'!L11+Comms!L11+Fundraising!L11+'Proj Dev'!L11+Admin_Total!L11</f>
        <v>5454</v>
      </c>
      <c r="M11" s="43">
        <f>'Support Housing'!M11+'FC TOTAL'!M11+'SS Total'!M11+Comms!M11+Fundraising!M11+'Proj Dev'!M11+Admin_Total!M11</f>
        <v>5454</v>
      </c>
      <c r="N11" s="43">
        <f>'Support Housing'!N11+'FC TOTAL'!N11+'SS Total'!N11+Comms!N11+Fundraising!N11+'Proj Dev'!N11+Admin_Total!N11</f>
        <v>5454</v>
      </c>
      <c r="O11" s="43">
        <f>'Support Housing'!O11+'FC TOTAL'!O11+'SS Total'!O11+Comms!O11+Fundraising!O11+'Proj Dev'!O11+Admin_Total!O11</f>
        <v>5454</v>
      </c>
      <c r="P11" s="43">
        <f t="shared" si="0"/>
        <v>65448</v>
      </c>
    </row>
    <row r="12" spans="1:17" x14ac:dyDescent="0.3">
      <c r="A12" s="194" t="s">
        <v>6</v>
      </c>
      <c r="B12" s="194"/>
      <c r="C12" s="25"/>
      <c r="D12" s="28">
        <f>SUM(D6:D11)</f>
        <v>225464.69193452055</v>
      </c>
      <c r="E12" s="28">
        <f t="shared" ref="E12:P12" si="1">SUM(E6:E11)</f>
        <v>206001.03245698629</v>
      </c>
      <c r="F12" s="28">
        <f t="shared" si="1"/>
        <v>244988.22093452053</v>
      </c>
      <c r="G12" s="28">
        <f t="shared" si="1"/>
        <v>219758.64477534249</v>
      </c>
      <c r="H12" s="28">
        <f t="shared" si="1"/>
        <v>226593.03843452054</v>
      </c>
      <c r="I12" s="28">
        <f t="shared" si="1"/>
        <v>220107.12377534248</v>
      </c>
      <c r="J12" s="28">
        <f t="shared" si="1"/>
        <v>226593.03843452054</v>
      </c>
      <c r="K12" s="28">
        <f t="shared" si="1"/>
        <v>226593.03843452054</v>
      </c>
      <c r="L12" s="28">
        <f t="shared" si="1"/>
        <v>220107.12377534248</v>
      </c>
      <c r="M12" s="28">
        <f t="shared" si="1"/>
        <v>226593.03843452054</v>
      </c>
      <c r="N12" s="28">
        <f t="shared" si="1"/>
        <v>220107.12377534248</v>
      </c>
      <c r="O12" s="28">
        <f t="shared" si="1"/>
        <v>226623.99596876709</v>
      </c>
      <c r="P12" s="28">
        <f t="shared" si="1"/>
        <v>2689530.1111342469</v>
      </c>
    </row>
    <row r="13" spans="1:17" x14ac:dyDescent="0.3">
      <c r="A13" s="194" t="s">
        <v>7</v>
      </c>
      <c r="B13" s="19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7" x14ac:dyDescent="0.3">
      <c r="A14" s="26"/>
      <c r="B14" s="97" t="s">
        <v>8</v>
      </c>
      <c r="C14" s="25"/>
      <c r="D14" s="25">
        <f>'Support Housing'!D14+'FC TOTAL'!D14+'SS Total'!D14+Comms!D14+Fundraising!D14+'Proj Dev'!D14+Admin_Total!D14</f>
        <v>50589</v>
      </c>
      <c r="E14" s="25">
        <f>'Support Housing'!E14+'FC TOTAL'!E14+'SS Total'!E14+Comms!E14+Fundraising!E14+'Proj Dev'!E14+Admin_Total!E14</f>
        <v>45922</v>
      </c>
      <c r="F14" s="25">
        <f>'Support Housing'!F14+'FC TOTAL'!F14+'SS Total'!F14+Comms!F14+Fundraising!F14+'Proj Dev'!F14+Admin_Total!F14</f>
        <v>45922</v>
      </c>
      <c r="G14" s="25">
        <f>'Support Housing'!G14+'FC TOTAL'!G14+'SS Total'!G14+Comms!G14+Fundraising!G14+'Proj Dev'!G14+Admin_Total!G14</f>
        <v>45922</v>
      </c>
      <c r="H14" s="25">
        <f>'Support Housing'!H14+'FC TOTAL'!H14+'SS Total'!H14+Comms!H14+Fundraising!H14+'Proj Dev'!H14+Admin_Total!H14</f>
        <v>45922</v>
      </c>
      <c r="I14" s="25">
        <f>'Support Housing'!I14+'FC TOTAL'!I14+'SS Total'!I14+Comms!I14+Fundraising!I14+'Proj Dev'!I14+Admin_Total!I14</f>
        <v>45923</v>
      </c>
      <c r="J14" s="25">
        <f>'Support Housing'!J14+'FC TOTAL'!J14+'SS Total'!J14+Comms!J14+Fundraising!J14+'Proj Dev'!J14+Admin_Total!J14</f>
        <v>49195</v>
      </c>
      <c r="K14" s="25">
        <f>'Support Housing'!K14+'FC TOTAL'!K14+'SS Total'!K14+Comms!K14+Fundraising!K14+'Proj Dev'!K14+Admin_Total!K14</f>
        <v>48045</v>
      </c>
      <c r="L14" s="25">
        <f>'Support Housing'!L14+'FC TOTAL'!L14+'SS Total'!L14+Comms!L14+Fundraising!L14+'Proj Dev'!L14+Admin_Total!L14</f>
        <v>45994</v>
      </c>
      <c r="M14" s="25">
        <f>'Support Housing'!M14+'FC TOTAL'!M14+'SS Total'!M14+Comms!M14+Fundraising!M14+'Proj Dev'!M14+Admin_Total!M14</f>
        <v>45994</v>
      </c>
      <c r="N14" s="25">
        <f>'Support Housing'!N14+'FC TOTAL'!N14+'SS Total'!N14+Comms!N14+Fundraising!N14+'Proj Dev'!N14+Admin_Total!N14</f>
        <v>45994</v>
      </c>
      <c r="O14" s="25">
        <f>'Support Housing'!O14+'FC TOTAL'!O14+'SS Total'!O14+Comms!O14+Fundraising!O14+'Proj Dev'!O14+Admin_Total!O14</f>
        <v>45994</v>
      </c>
      <c r="P14" s="25">
        <f>SUM(D14:O14)</f>
        <v>561416</v>
      </c>
    </row>
    <row r="15" spans="1:17" x14ac:dyDescent="0.3">
      <c r="A15" s="26"/>
      <c r="B15" s="97" t="s">
        <v>9</v>
      </c>
      <c r="C15" s="25"/>
      <c r="D15" s="25">
        <f>'Support Housing'!D15+'FC TOTAL'!D15+'SS Total'!D15+Comms!D15+Fundraising!D15+'Proj Dev'!D15+Admin_Total!D15</f>
        <v>16596</v>
      </c>
      <c r="E15" s="25">
        <f>'Support Housing'!E15+'FC TOTAL'!E15+'SS Total'!E15+Comms!E15+Fundraising!E15+'Proj Dev'!E15+Admin_Total!E15</f>
        <v>16596</v>
      </c>
      <c r="F15" s="25">
        <f>'Support Housing'!F15+'FC TOTAL'!F15+'SS Total'!F15+Comms!F15+Fundraising!F15+'Proj Dev'!F15+Admin_Total!F15</f>
        <v>16596</v>
      </c>
      <c r="G15" s="25">
        <f>'Support Housing'!G15+'FC TOTAL'!G15+'SS Total'!G15+Comms!G15+Fundraising!G15+'Proj Dev'!G15+Admin_Total!G15</f>
        <v>16596</v>
      </c>
      <c r="H15" s="25">
        <f>'Support Housing'!H15+'FC TOTAL'!H15+'SS Total'!H15+Comms!H15+Fundraising!H15+'Proj Dev'!H15+Admin_Total!H15</f>
        <v>16596</v>
      </c>
      <c r="I15" s="25">
        <f>'Support Housing'!I15+'FC TOTAL'!I15+'SS Total'!I15+Comms!I15+Fundraising!I15+'Proj Dev'!I15+Admin_Total!I15</f>
        <v>16596</v>
      </c>
      <c r="J15" s="25">
        <f>'Support Housing'!J15+'FC TOTAL'!J15+'SS Total'!J15+Comms!J15+Fundraising!J15+'Proj Dev'!J15+Admin_Total!J15</f>
        <v>16596</v>
      </c>
      <c r="K15" s="25">
        <f>'Support Housing'!K15+'FC TOTAL'!K15+'SS Total'!K15+Comms!K15+Fundraising!K15+'Proj Dev'!K15+Admin_Total!K15</f>
        <v>16596</v>
      </c>
      <c r="L15" s="25">
        <f>'Support Housing'!L15+'FC TOTAL'!L15+'SS Total'!L15+Comms!L15+Fundraising!L15+'Proj Dev'!L15+Admin_Total!L15</f>
        <v>16596</v>
      </c>
      <c r="M15" s="25">
        <f>'Support Housing'!M15+'FC TOTAL'!M15+'SS Total'!M15+Comms!M15+Fundraising!M15+'Proj Dev'!M15+Admin_Total!M15</f>
        <v>16596</v>
      </c>
      <c r="N15" s="25">
        <f>'Support Housing'!N15+'FC TOTAL'!N15+'SS Total'!N15+Comms!N15+Fundraising!N15+'Proj Dev'!N15+Admin_Total!N15</f>
        <v>16596</v>
      </c>
      <c r="O15" s="25">
        <f>'Support Housing'!O15+'FC TOTAL'!O15+'SS Total'!O15+Comms!O15+Fundraising!O15+'Proj Dev'!O15+Admin_Total!O15</f>
        <v>16596</v>
      </c>
      <c r="P15" s="25">
        <f>SUM(D15:O15)</f>
        <v>199152</v>
      </c>
    </row>
    <row r="16" spans="1:17" x14ac:dyDescent="0.3">
      <c r="A16" s="26"/>
      <c r="B16" s="97" t="s">
        <v>219</v>
      </c>
      <c r="C16" s="25"/>
      <c r="D16" s="25">
        <f>'Support Housing'!D16+'FC TOTAL'!D16+'SS Total'!D16+Comms!D16+Fundraising!D16+'Proj Dev'!D16+Admin_Total!D16</f>
        <v>19930.5</v>
      </c>
      <c r="E16" s="25">
        <f>'Support Housing'!E16+'FC TOTAL'!E16+'SS Total'!E16+Comms!E16+Fundraising!E16+'Proj Dev'!E16+Admin_Total!E16</f>
        <v>12939</v>
      </c>
      <c r="F16" s="25">
        <f>'Support Housing'!F16+'FC TOTAL'!F16+'SS Total'!F16+Comms!F16+Fundraising!F16+'Proj Dev'!F16+Admin_Total!F16</f>
        <v>12939</v>
      </c>
      <c r="G16" s="25">
        <f>'Support Housing'!G16+'FC TOTAL'!G16+'SS Total'!G16+Comms!G16+Fundraising!G16+'Proj Dev'!G16+Admin_Total!G16</f>
        <v>12939</v>
      </c>
      <c r="H16" s="25">
        <f>'Support Housing'!H16+'FC TOTAL'!H16+'SS Total'!H16+Comms!H16+Fundraising!H16+'Proj Dev'!H16+Admin_Total!H16</f>
        <v>12939</v>
      </c>
      <c r="I16" s="25">
        <f>'Support Housing'!I16+'FC TOTAL'!I16+'SS Total'!I16+Comms!I16+Fundraising!I16+'Proj Dev'!I16+Admin_Total!I16</f>
        <v>12939</v>
      </c>
      <c r="J16" s="25">
        <f>'Support Housing'!J16+'FC TOTAL'!J16+'SS Total'!J16+Comms!J16+Fundraising!J16+'Proj Dev'!J16+Admin_Total!J16</f>
        <v>24097.5</v>
      </c>
      <c r="K16" s="25">
        <f>'Support Housing'!K16+'FC TOTAL'!K16+'SS Total'!K16+Comms!K16+Fundraising!K16+'Proj Dev'!K16+Admin_Total!K16</f>
        <v>17106</v>
      </c>
      <c r="L16" s="25">
        <f>'Support Housing'!L16+'FC TOTAL'!L16+'SS Total'!L16+Comms!L16+Fundraising!L16+'Proj Dev'!L16+Admin_Total!L16</f>
        <v>17106</v>
      </c>
      <c r="M16" s="25">
        <f>'Support Housing'!M16+'FC TOTAL'!M16+'SS Total'!M16+Comms!M16+Fundraising!M16+'Proj Dev'!M16+Admin_Total!M16</f>
        <v>17106</v>
      </c>
      <c r="N16" s="25">
        <f>'Support Housing'!N16+'FC TOTAL'!N16+'SS Total'!N16+Comms!N16+Fundraising!N16+'Proj Dev'!N16+Admin_Total!N16</f>
        <v>17106</v>
      </c>
      <c r="O16" s="25">
        <f>'Support Housing'!O16+'FC TOTAL'!O16+'SS Total'!O16+Comms!O16+Fundraising!O16+'Proj Dev'!O16+Admin_Total!O16</f>
        <v>17106</v>
      </c>
      <c r="P16" s="25">
        <f>SUM(D16:O16)</f>
        <v>194253</v>
      </c>
    </row>
    <row r="17" spans="1:16" x14ac:dyDescent="0.3">
      <c r="A17" s="26"/>
      <c r="B17" s="66" t="s">
        <v>16</v>
      </c>
      <c r="C17" s="25"/>
      <c r="D17" s="25">
        <f>'Support Housing'!D17+'FC TOTAL'!D17+'SS Total'!D17+Comms!D17+Fundraising!D17+'Proj Dev'!D17+Admin_Total!D17</f>
        <v>0</v>
      </c>
      <c r="E17" s="25">
        <f>'Support Housing'!E17+'FC TOTAL'!E17+'SS Total'!E17+Comms!E17+Fundraising!E17+'Proj Dev'!E17+Admin_Total!E17</f>
        <v>0</v>
      </c>
      <c r="F17" s="25">
        <f>'Support Housing'!F17+'FC TOTAL'!F17+'SS Total'!F17+Comms!F17+Fundraising!F17+'Proj Dev'!F17+Admin_Total!F17</f>
        <v>0</v>
      </c>
      <c r="G17" s="25">
        <f>'Support Housing'!G17+'FC TOTAL'!G17+'SS Total'!G17+Comms!G17+Fundraising!G17+'Proj Dev'!G17+Admin_Total!G17</f>
        <v>0</v>
      </c>
      <c r="H17" s="25">
        <f>'Support Housing'!H17+'FC TOTAL'!H17+'SS Total'!H17+Comms!H17+Fundraising!H17+'Proj Dev'!H17+Admin_Total!H17</f>
        <v>0</v>
      </c>
      <c r="I17" s="25">
        <f>'Support Housing'!I17+'FC TOTAL'!I17+'SS Total'!I17+Comms!I17+Fundraising!I17+'Proj Dev'!I17+Admin_Total!I17</f>
        <v>0</v>
      </c>
      <c r="J17" s="25">
        <f>'Support Housing'!J17+'FC TOTAL'!J17+'SS Total'!J17+Comms!J17+Fundraising!J17+'Proj Dev'!J17+Admin_Total!J17</f>
        <v>0</v>
      </c>
      <c r="K17" s="25">
        <f>'Support Housing'!K17+'FC TOTAL'!K17+'SS Total'!K17+Comms!K17+Fundraising!K17+'Proj Dev'!K17+Admin_Total!K17</f>
        <v>0</v>
      </c>
      <c r="L17" s="25">
        <f>'Support Housing'!L17+'FC TOTAL'!L17+'SS Total'!L17+Comms!L17+Fundraising!L17+'Proj Dev'!L17+Admin_Total!L17</f>
        <v>0</v>
      </c>
      <c r="M17" s="25">
        <f>'Support Housing'!M17+'FC TOTAL'!M17+'SS Total'!M17+Comms!M17+Fundraising!M17+'Proj Dev'!M17+Admin_Total!M17</f>
        <v>0</v>
      </c>
      <c r="N17" s="25">
        <f>'Support Housing'!N17+'FC TOTAL'!N17+'SS Total'!N17+Comms!N17+Fundraising!N17+'Proj Dev'!N17+Admin_Total!N17</f>
        <v>0</v>
      </c>
      <c r="O17" s="25">
        <f>'Support Housing'!O17+'FC TOTAL'!O17+'SS Total'!O17+Comms!O17+Fundraising!O17+'Proj Dev'!O17+Admin_Total!O17</f>
        <v>0</v>
      </c>
      <c r="P17" s="25">
        <f>SUM(D17:O17)</f>
        <v>0</v>
      </c>
    </row>
    <row r="18" spans="1:16" x14ac:dyDescent="0.3">
      <c r="A18" s="194" t="s">
        <v>10</v>
      </c>
      <c r="B18" s="194"/>
      <c r="C18" s="25"/>
      <c r="D18" s="28">
        <f>SUM(D14:D17)</f>
        <v>87115.5</v>
      </c>
      <c r="E18" s="28">
        <f t="shared" ref="E18:P18" si="2">SUM(E14:E17)</f>
        <v>75457</v>
      </c>
      <c r="F18" s="28">
        <f t="shared" si="2"/>
        <v>75457</v>
      </c>
      <c r="G18" s="28">
        <f t="shared" si="2"/>
        <v>75457</v>
      </c>
      <c r="H18" s="28">
        <f t="shared" si="2"/>
        <v>75457</v>
      </c>
      <c r="I18" s="28">
        <f t="shared" si="2"/>
        <v>75458</v>
      </c>
      <c r="J18" s="28">
        <f t="shared" si="2"/>
        <v>89888.5</v>
      </c>
      <c r="K18" s="28">
        <f t="shared" si="2"/>
        <v>81747</v>
      </c>
      <c r="L18" s="28">
        <f t="shared" si="2"/>
        <v>79696</v>
      </c>
      <c r="M18" s="28">
        <f t="shared" si="2"/>
        <v>79696</v>
      </c>
      <c r="N18" s="28">
        <f t="shared" si="2"/>
        <v>79696</v>
      </c>
      <c r="O18" s="28">
        <f t="shared" si="2"/>
        <v>79696</v>
      </c>
      <c r="P18" s="28">
        <f t="shared" si="2"/>
        <v>954821</v>
      </c>
    </row>
    <row r="19" spans="1:16" x14ac:dyDescent="0.3">
      <c r="A19" s="194" t="s">
        <v>11</v>
      </c>
      <c r="B19" s="19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3">
      <c r="A20" s="26"/>
      <c r="B20" s="36" t="s">
        <v>12</v>
      </c>
      <c r="C20" s="25"/>
      <c r="D20" s="25">
        <f>'Support Housing'!D20+'FC TOTAL'!D20+'SS Total'!D20+Comms!D20+Fundraising!D20+'Proj Dev'!D20+Admin_Total!D20</f>
        <v>0</v>
      </c>
      <c r="E20" s="25">
        <f>'Support Housing'!E20+'FC TOTAL'!E20+'SS Total'!E20+Comms!E20+Fundraising!E20+'Proj Dev'!E20+Admin_Total!E20</f>
        <v>0</v>
      </c>
      <c r="F20" s="25">
        <f>'Support Housing'!F20+'FC TOTAL'!F20+'SS Total'!F20+Comms!F20+Fundraising!F20+'Proj Dev'!F20+Admin_Total!F20</f>
        <v>0</v>
      </c>
      <c r="G20" s="25">
        <f>'Support Housing'!G20+'FC TOTAL'!G20+'SS Total'!G20+Comms!G20+Fundraising!G20+'Proj Dev'!G20+Admin_Total!G20</f>
        <v>0</v>
      </c>
      <c r="H20" s="25">
        <f>'Support Housing'!H20+'FC TOTAL'!H20+'SS Total'!H20+Comms!H20+Fundraising!H20+'Proj Dev'!H20+Admin_Total!H20</f>
        <v>0</v>
      </c>
      <c r="I20" s="25">
        <f>'Support Housing'!I20+'FC TOTAL'!I20+'SS Total'!I20+Comms!I20+Fundraising!I20+'Proj Dev'!I20+Admin_Total!I20</f>
        <v>0</v>
      </c>
      <c r="J20" s="25">
        <f>'Support Housing'!J20+'FC TOTAL'!J20+'SS Total'!J20+Comms!J20+Fundraising!J20+'Proj Dev'!J20+Admin_Total!J20</f>
        <v>0</v>
      </c>
      <c r="K20" s="25">
        <f>'Support Housing'!K20+'FC TOTAL'!K20+'SS Total'!K20+Comms!K20+Fundraising!K20+'Proj Dev'!K20+Admin_Total!K20</f>
        <v>0</v>
      </c>
      <c r="L20" s="25">
        <f>'Support Housing'!L20+'FC TOTAL'!L20+'SS Total'!L20+Comms!L20+Fundraising!L20+'Proj Dev'!L20+Admin_Total!L20</f>
        <v>0</v>
      </c>
      <c r="M20" s="25">
        <f>'Support Housing'!M20+'FC TOTAL'!M20+'SS Total'!M20+Comms!M20+Fundraising!M20+'Proj Dev'!M20+Admin_Total!M20</f>
        <v>0</v>
      </c>
      <c r="N20" s="25">
        <f>'Support Housing'!N20+'FC TOTAL'!N20+'SS Total'!N20+Comms!N20+Fundraising!N20+'Proj Dev'!N20+Admin_Total!N20</f>
        <v>0</v>
      </c>
      <c r="O20" s="25">
        <f>'Support Housing'!O20+'FC TOTAL'!O20+'SS Total'!O20+Comms!O20+Fundraising!O20+'Proj Dev'!O20+Admin_Total!O20</f>
        <v>350000</v>
      </c>
      <c r="P20" s="25">
        <f t="shared" ref="P20:P25" si="3">SUM(D20:O20)</f>
        <v>350000</v>
      </c>
    </row>
    <row r="21" spans="1:16" x14ac:dyDescent="0.3">
      <c r="A21" s="26"/>
      <c r="B21" s="36" t="s">
        <v>96</v>
      </c>
      <c r="C21" s="25"/>
      <c r="D21" s="25">
        <f>'Support Housing'!D21+'FC TOTAL'!D21+'SS Total'!D21+Comms!D21+Fundraising!D21+'Proj Dev'!D21+Admin_Total!D21</f>
        <v>0</v>
      </c>
      <c r="E21" s="25">
        <f>'Support Housing'!E21+'FC TOTAL'!E21+'SS Total'!E21+Comms!E21+Fundraising!E21+'Proj Dev'!E21+Admin_Total!E21</f>
        <v>0</v>
      </c>
      <c r="F21" s="25">
        <f>'Support Housing'!F21+'FC TOTAL'!F21+'SS Total'!F21+Comms!F21+Fundraising!F21+'Proj Dev'!F21+Admin_Total!F21</f>
        <v>0</v>
      </c>
      <c r="G21" s="25">
        <f>'Support Housing'!G21+'FC TOTAL'!G21+'SS Total'!G21+Comms!G21+Fundraising!G21+'Proj Dev'!G21+Admin_Total!G21</f>
        <v>0</v>
      </c>
      <c r="H21" s="25">
        <f>'Support Housing'!H21+'FC TOTAL'!H21+'SS Total'!H21+Comms!H21+Fundraising!H21+'Proj Dev'!H21+Admin_Total!H21</f>
        <v>0</v>
      </c>
      <c r="I21" s="25">
        <f>'Support Housing'!I21+'FC TOTAL'!I21+'SS Total'!I21+Comms!I21+Fundraising!I21+'Proj Dev'!I21+Admin_Total!I21</f>
        <v>0</v>
      </c>
      <c r="J21" s="25">
        <f>'Support Housing'!J21+'FC TOTAL'!J21+'SS Total'!J21+Comms!J21+Fundraising!J21+'Proj Dev'!J21+Admin_Total!J21</f>
        <v>0</v>
      </c>
      <c r="K21" s="25">
        <f>'Support Housing'!K21+'FC TOTAL'!K21+'SS Total'!K21+Comms!K21+Fundraising!K21+'Proj Dev'!K21+Admin_Total!K21</f>
        <v>0</v>
      </c>
      <c r="L21" s="25">
        <f>'Support Housing'!L21+'FC TOTAL'!L21+'SS Total'!L21+Comms!L21+Fundraising!L21+'Proj Dev'!L21+Admin_Total!L21</f>
        <v>0</v>
      </c>
      <c r="M21" s="25">
        <f>'Support Housing'!M21+'FC TOTAL'!M21+'SS Total'!M21+Comms!M21+Fundraising!M21+'Proj Dev'!M21+Admin_Total!M21</f>
        <v>0</v>
      </c>
      <c r="N21" s="25">
        <f>'Support Housing'!N21+'FC TOTAL'!N21+'SS Total'!N21+Comms!N21+Fundraising!N21+'Proj Dev'!N21+Admin_Total!N21</f>
        <v>0</v>
      </c>
      <c r="O21" s="25">
        <f>'Support Housing'!O21+'FC TOTAL'!O21+'SS Total'!O21+Comms!O21+Fundraising!O21+'Proj Dev'!O21+Admin_Total!O21</f>
        <v>395000</v>
      </c>
      <c r="P21" s="25">
        <f t="shared" si="3"/>
        <v>395000</v>
      </c>
    </row>
    <row r="22" spans="1:16" x14ac:dyDescent="0.3">
      <c r="A22" s="26"/>
      <c r="B22" s="36" t="s">
        <v>97</v>
      </c>
      <c r="C22" s="25"/>
      <c r="D22" s="25">
        <f>'Support Housing'!D22+'FC TOTAL'!D22+'SS Total'!D22+Comms!D22+Fundraising!D22+'Proj Dev'!D22+Admin_Total!D22</f>
        <v>0</v>
      </c>
      <c r="E22" s="25">
        <f>'Support Housing'!E22+'FC TOTAL'!E22+'SS Total'!E22+Comms!E22+Fundraising!E22+'Proj Dev'!E22+Admin_Total!E22</f>
        <v>0</v>
      </c>
      <c r="F22" s="25">
        <f>'Support Housing'!F22+'FC TOTAL'!F22+'SS Total'!F22+Comms!F22+Fundraising!F22+'Proj Dev'!F22+Admin_Total!F22</f>
        <v>0</v>
      </c>
      <c r="G22" s="25">
        <f>'Support Housing'!G22+'FC TOTAL'!G22+'SS Total'!G22+Comms!G22+Fundraising!G22+'Proj Dev'!G22+Admin_Total!G22</f>
        <v>0</v>
      </c>
      <c r="H22" s="25">
        <f>'Support Housing'!H22+'FC TOTAL'!H22+'SS Total'!H22+Comms!H22+Fundraising!H22+'Proj Dev'!H22+Admin_Total!H22</f>
        <v>0</v>
      </c>
      <c r="I22" s="25">
        <f>'Support Housing'!I22+'FC TOTAL'!I22+'SS Total'!I22+Comms!I22+Fundraising!I22+'Proj Dev'!I22+Admin_Total!I22</f>
        <v>0</v>
      </c>
      <c r="J22" s="25">
        <f>'Support Housing'!J22+'FC TOTAL'!J22+'SS Total'!J22+Comms!J22+Fundraising!J22+'Proj Dev'!J22+Admin_Total!J22</f>
        <v>0</v>
      </c>
      <c r="K22" s="25">
        <f>'Support Housing'!K22+'FC TOTAL'!K22+'SS Total'!K22+Comms!K22+Fundraising!K22+'Proj Dev'!K22+Admin_Total!K22</f>
        <v>0</v>
      </c>
      <c r="L22" s="25">
        <f>'Support Housing'!L22+'FC TOTAL'!L22+'SS Total'!L22+Comms!L22+Fundraising!L22+'Proj Dev'!L22+Admin_Total!L22</f>
        <v>0</v>
      </c>
      <c r="M22" s="25">
        <f>'Support Housing'!M22+'FC TOTAL'!M22+'SS Total'!M22+Comms!M22+Fundraising!M22+'Proj Dev'!M22+Admin_Total!M22</f>
        <v>0</v>
      </c>
      <c r="N22" s="25">
        <f>'Support Housing'!N22+'FC TOTAL'!N22+'SS Total'!N22+Comms!N22+Fundraising!N22+'Proj Dev'!N22+Admin_Total!N22</f>
        <v>0</v>
      </c>
      <c r="O22" s="25">
        <f>'Support Housing'!O22+'FC TOTAL'!O22+'SS Total'!O22+Comms!O22+Fundraising!O22+'Proj Dev'!O22+Admin_Total!O22</f>
        <v>80000</v>
      </c>
      <c r="P22" s="25">
        <f t="shared" si="3"/>
        <v>80000</v>
      </c>
    </row>
    <row r="23" spans="1:16" x14ac:dyDescent="0.3">
      <c r="A23" s="26"/>
      <c r="B23" s="36" t="s">
        <v>13</v>
      </c>
      <c r="C23" s="25"/>
      <c r="D23" s="25">
        <f>'Support Housing'!D23+'FC TOTAL'!D23+'SS Total'!D23+Comms!D23+Fundraising!D23+'Proj Dev'!D23+Admin_Total!D23</f>
        <v>0</v>
      </c>
      <c r="E23" s="25">
        <f>'Support Housing'!E23+'FC TOTAL'!E23+'SS Total'!E23+Comms!E23+Fundraising!E23+'Proj Dev'!E23+Admin_Total!E23</f>
        <v>0</v>
      </c>
      <c r="F23" s="25">
        <f>'Support Housing'!F23+'FC TOTAL'!F23+'SS Total'!F23+Comms!F23+Fundraising!F23+'Proj Dev'!F23+Admin_Total!F23</f>
        <v>0</v>
      </c>
      <c r="G23" s="25">
        <f>'Support Housing'!G23+'FC TOTAL'!G23+'SS Total'!G23+Comms!G23+Fundraising!G23+'Proj Dev'!G23+Admin_Total!G23</f>
        <v>0</v>
      </c>
      <c r="H23" s="25">
        <f>'Support Housing'!H23+'FC TOTAL'!H23+'SS Total'!H23+Comms!H23+Fundraising!H23+'Proj Dev'!H23+Admin_Total!H23</f>
        <v>0</v>
      </c>
      <c r="I23" s="25">
        <f>'Support Housing'!I23+'FC TOTAL'!I23+'SS Total'!I23+Comms!I23+Fundraising!I23+'Proj Dev'!I23+Admin_Total!I23</f>
        <v>0</v>
      </c>
      <c r="J23" s="25">
        <f>'Support Housing'!J23+'FC TOTAL'!J23+'SS Total'!J23+Comms!J23+Fundraising!J23+'Proj Dev'!J23+Admin_Total!J23</f>
        <v>0</v>
      </c>
      <c r="K23" s="25">
        <f>'Support Housing'!K23+'FC TOTAL'!K23+'SS Total'!K23+Comms!K23+Fundraising!K23+'Proj Dev'!K23+Admin_Total!K23</f>
        <v>0</v>
      </c>
      <c r="L23" s="25">
        <f>'Support Housing'!L23+'FC TOTAL'!L23+'SS Total'!L23+Comms!L23+Fundraising!L23+'Proj Dev'!L23+Admin_Total!L23</f>
        <v>0</v>
      </c>
      <c r="M23" s="25">
        <f>'Support Housing'!M23+'FC TOTAL'!M23+'SS Total'!M23+Comms!M23+Fundraising!M23+'Proj Dev'!M23+Admin_Total!M23</f>
        <v>0</v>
      </c>
      <c r="N23" s="25">
        <f>'Support Housing'!N23+'FC TOTAL'!N23+'SS Total'!N23+Comms!N23+Fundraising!N23+'Proj Dev'!N23+Admin_Total!N23</f>
        <v>0</v>
      </c>
      <c r="O23" s="25">
        <f>'Support Housing'!O23+'FC TOTAL'!O23+'SS Total'!O23+Comms!O23+Fundraising!O23+'Proj Dev'!O23+Admin_Total!O23</f>
        <v>25000</v>
      </c>
      <c r="P23" s="25">
        <f t="shared" si="3"/>
        <v>25000</v>
      </c>
    </row>
    <row r="24" spans="1:16" x14ac:dyDescent="0.3">
      <c r="A24" s="26"/>
      <c r="B24" s="36" t="s">
        <v>14</v>
      </c>
      <c r="C24" s="25"/>
      <c r="D24" s="25">
        <f>'Support Housing'!D24+'FC TOTAL'!D24+'SS Total'!D24+Comms!D24+Fundraising!D24+'Proj Dev'!D24+Admin_Total!D24</f>
        <v>0</v>
      </c>
      <c r="E24" s="25">
        <f>'Support Housing'!E24+'FC TOTAL'!E24+'SS Total'!E24+Comms!E24+Fundraising!E24+'Proj Dev'!E24+Admin_Total!E24</f>
        <v>0</v>
      </c>
      <c r="F24" s="25">
        <f>'Support Housing'!F24+'FC TOTAL'!F24+'SS Total'!F24+Comms!F24+Fundraising!F24+'Proj Dev'!F24+Admin_Total!F24</f>
        <v>0</v>
      </c>
      <c r="G24" s="25">
        <f>'Support Housing'!G24+'FC TOTAL'!G24+'SS Total'!G24+Comms!G24+Fundraising!G24+'Proj Dev'!G24+Admin_Total!G24</f>
        <v>0</v>
      </c>
      <c r="H24" s="25">
        <f>'Support Housing'!H24+'FC TOTAL'!H24+'SS Total'!H24+Comms!H24+Fundraising!H24+'Proj Dev'!H24+Admin_Total!H24</f>
        <v>0</v>
      </c>
      <c r="I24" s="25">
        <f>'Support Housing'!I24+'FC TOTAL'!I24+'SS Total'!I24+Comms!I24+Fundraising!I24+'Proj Dev'!I24+Admin_Total!I24</f>
        <v>0</v>
      </c>
      <c r="J24" s="25">
        <f>'Support Housing'!J24+'FC TOTAL'!J24+'SS Total'!J24+Comms!J24+Fundraising!J24+'Proj Dev'!J24+Admin_Total!J24</f>
        <v>0</v>
      </c>
      <c r="K24" s="25">
        <f>'Support Housing'!K24+'FC TOTAL'!K24+'SS Total'!K24+Comms!K24+Fundraising!K24+'Proj Dev'!K24+Admin_Total!K24</f>
        <v>0</v>
      </c>
      <c r="L24" s="25">
        <f>'Support Housing'!L24+'FC TOTAL'!L24+'SS Total'!L24+Comms!L24+Fundraising!L24+'Proj Dev'!L24+Admin_Total!L24</f>
        <v>0</v>
      </c>
      <c r="M24" s="25">
        <f>'Support Housing'!M24+'FC TOTAL'!M24+'SS Total'!M24+Comms!M24+Fundraising!M24+'Proj Dev'!M24+Admin_Total!M24</f>
        <v>0</v>
      </c>
      <c r="N24" s="25">
        <f>'Support Housing'!N24+'FC TOTAL'!N24+'SS Total'!N24+Comms!N24+Fundraising!N24+'Proj Dev'!N24+Admin_Total!N24</f>
        <v>0</v>
      </c>
      <c r="O24" s="25">
        <f>'Support Housing'!O24+'FC TOTAL'!O24+'SS Total'!O24+Comms!O24+Fundraising!O24+'Proj Dev'!O24+Admin_Total!O24</f>
        <v>10000</v>
      </c>
      <c r="P24" s="25">
        <f t="shared" si="3"/>
        <v>10000</v>
      </c>
    </row>
    <row r="25" spans="1:16" x14ac:dyDescent="0.3">
      <c r="A25" s="26"/>
      <c r="B25" s="26"/>
      <c r="C25" s="25"/>
      <c r="D25" s="25">
        <f>'Support Housing'!D25+'FC TOTAL'!D25+'SS Total'!D25+Comms!D25+Fundraising!D25+'Proj Dev'!D25+Admin_Total!D25</f>
        <v>0</v>
      </c>
      <c r="E25" s="25">
        <f>'Support Housing'!E25+'FC TOTAL'!E25+'SS Total'!E25+Comms!E25+Fundraising!E25+'Proj Dev'!E25+Admin_Total!E25</f>
        <v>0</v>
      </c>
      <c r="F25" s="25">
        <f>'Support Housing'!F25+'FC TOTAL'!F25+'SS Total'!F25+Comms!F25+Fundraising!F25+'Proj Dev'!F25+Admin_Total!F25</f>
        <v>0</v>
      </c>
      <c r="G25" s="25">
        <f>'Support Housing'!G25+'FC TOTAL'!G25+'SS Total'!G25+Comms!G25+Fundraising!G25+'Proj Dev'!G25+Admin_Total!G25</f>
        <v>0</v>
      </c>
      <c r="H25" s="25">
        <f>'Support Housing'!H25+'FC TOTAL'!H25+'SS Total'!H25+Comms!H25+Fundraising!H25+'Proj Dev'!H25+Admin_Total!H25</f>
        <v>0</v>
      </c>
      <c r="I25" s="25">
        <f>'Support Housing'!I25+'FC TOTAL'!I25+'SS Total'!I25+Comms!I25+Fundraising!I25+'Proj Dev'!I25+Admin_Total!I25</f>
        <v>0</v>
      </c>
      <c r="J25" s="25">
        <f>'Support Housing'!J25+'FC TOTAL'!J25+'SS Total'!J25+Comms!J25+Fundraising!J25+'Proj Dev'!J25+Admin_Total!J25</f>
        <v>0</v>
      </c>
      <c r="K25" s="25">
        <f>'Support Housing'!K25+'FC TOTAL'!K25+'SS Total'!K25+Comms!K25+Fundraising!K25+'Proj Dev'!K25+Admin_Total!K25</f>
        <v>0</v>
      </c>
      <c r="L25" s="25">
        <f>'Support Housing'!L25+'FC TOTAL'!L25+'SS Total'!L25+Comms!L25+Fundraising!L25+'Proj Dev'!L25+Admin_Total!L25</f>
        <v>0</v>
      </c>
      <c r="M25" s="25">
        <f>'Support Housing'!M25+'FC TOTAL'!M25+'SS Total'!M25+Comms!M25+Fundraising!M25+'Proj Dev'!M25+Admin_Total!M25</f>
        <v>0</v>
      </c>
      <c r="N25" s="25">
        <f>'Support Housing'!N25+'FC TOTAL'!N25+'SS Total'!N25+Comms!N25+Fundraising!N25+'Proj Dev'!N25+Admin_Total!N25</f>
        <v>0</v>
      </c>
      <c r="O25" s="25">
        <f>'Support Housing'!O25+'FC TOTAL'!O25+'SS Total'!O25+Comms!O25+Fundraising!O25+'Proj Dev'!O25+Admin_Total!O25</f>
        <v>0</v>
      </c>
      <c r="P25" s="25">
        <f t="shared" si="3"/>
        <v>0</v>
      </c>
    </row>
    <row r="26" spans="1:16" x14ac:dyDescent="0.3">
      <c r="A26" s="194" t="s">
        <v>15</v>
      </c>
      <c r="B26" s="194"/>
      <c r="C26" s="25"/>
      <c r="D26" s="28">
        <f>SUM(D20:D25)</f>
        <v>0</v>
      </c>
      <c r="E26" s="28">
        <f t="shared" ref="E26:P26" si="4">SUM(E20:E25)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4"/>
        <v>0</v>
      </c>
      <c r="J26" s="28">
        <f t="shared" si="4"/>
        <v>0</v>
      </c>
      <c r="K26" s="28">
        <f t="shared" si="4"/>
        <v>0</v>
      </c>
      <c r="L26" s="28">
        <f t="shared" si="4"/>
        <v>0</v>
      </c>
      <c r="M26" s="28">
        <f t="shared" si="4"/>
        <v>0</v>
      </c>
      <c r="N26" s="28">
        <f t="shared" si="4"/>
        <v>0</v>
      </c>
      <c r="O26" s="28">
        <f t="shared" si="4"/>
        <v>860000</v>
      </c>
      <c r="P26" s="28">
        <f t="shared" si="4"/>
        <v>860000</v>
      </c>
    </row>
    <row r="27" spans="1:16" x14ac:dyDescent="0.3">
      <c r="A27" s="194" t="s">
        <v>16</v>
      </c>
      <c r="B27" s="19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x14ac:dyDescent="0.3">
      <c r="A28" s="36" t="s">
        <v>17</v>
      </c>
      <c r="B28" s="36" t="s">
        <v>18</v>
      </c>
      <c r="C28" s="25"/>
      <c r="D28" s="25">
        <f>'Support Housing'!D28+'FC TOTAL'!D28+'SS Total'!D28+Comms!D28+Fundraising!D28+'Proj Dev'!D28+Admin_Total!D28</f>
        <v>0</v>
      </c>
      <c r="E28" s="25">
        <f>'Support Housing'!E28+'FC TOTAL'!E28+'SS Total'!E28+Comms!E28+Fundraising!E28+'Proj Dev'!E28+Admin_Total!E28</f>
        <v>0</v>
      </c>
      <c r="F28" s="25">
        <f>'Support Housing'!F28+'FC TOTAL'!F28+'SS Total'!F28+Comms!F28+Fundraising!F28+'Proj Dev'!F28+Admin_Total!F28</f>
        <v>0</v>
      </c>
      <c r="G28" s="25">
        <f>'Support Housing'!G28+'FC TOTAL'!G28+'SS Total'!G28+Comms!G28+Fundraising!G28+'Proj Dev'!G28+Admin_Total!G28</f>
        <v>0</v>
      </c>
      <c r="H28" s="25">
        <f>'Support Housing'!H28+'FC TOTAL'!H28+'SS Total'!H28+Comms!H28+Fundraising!H28+'Proj Dev'!H28+Admin_Total!H28</f>
        <v>0</v>
      </c>
      <c r="I28" s="25">
        <f>'Support Housing'!I28+'FC TOTAL'!I28+'SS Total'!I28+Comms!I28+Fundraising!I28+'Proj Dev'!I28+Admin_Total!I28</f>
        <v>0</v>
      </c>
      <c r="J28" s="25">
        <f>'Support Housing'!J28+'FC TOTAL'!J28+'SS Total'!J28+Comms!J28+Fundraising!J28+'Proj Dev'!J28+Admin_Total!J28</f>
        <v>0</v>
      </c>
      <c r="K28" s="25">
        <f>'Support Housing'!K28+'FC TOTAL'!K28+'SS Total'!K28+Comms!K28+Fundraising!K28+'Proj Dev'!K28+Admin_Total!K28</f>
        <v>0</v>
      </c>
      <c r="L28" s="25">
        <f>'Support Housing'!L28+'FC TOTAL'!L28+'SS Total'!L28+Comms!L28+Fundraising!L28+'Proj Dev'!L28+Admin_Total!L28</f>
        <v>0</v>
      </c>
      <c r="M28" s="25">
        <f>'Support Housing'!M28+'FC TOTAL'!M28+'SS Total'!M28+Comms!M28+Fundraising!M28+'Proj Dev'!M28+Admin_Total!M28</f>
        <v>0</v>
      </c>
      <c r="N28" s="25">
        <f>'Support Housing'!N28+'FC TOTAL'!N28+'SS Total'!N28+Comms!N28+Fundraising!N28+'Proj Dev'!N28+Admin_Total!N28</f>
        <v>0</v>
      </c>
      <c r="O28" s="25">
        <f>'Support Housing'!O28+'FC TOTAL'!O28+'SS Total'!O28+Comms!O28+Fundraising!O28+'Proj Dev'!O28+Admin_Total!O28</f>
        <v>32179.429300000003</v>
      </c>
      <c r="P28" s="25">
        <f>SUM(D28:O28)</f>
        <v>32179.429300000003</v>
      </c>
    </row>
    <row r="29" spans="1:16" x14ac:dyDescent="0.3">
      <c r="A29" s="36" t="s">
        <v>17</v>
      </c>
      <c r="B29" s="36" t="s">
        <v>19</v>
      </c>
      <c r="C29" s="25"/>
      <c r="D29" s="25">
        <f>'Support Housing'!D29+'FC TOTAL'!D29+'SS Total'!D29+Comms!D29+Fundraising!D29+'Proj Dev'!D29+Admin_Total!D29</f>
        <v>175</v>
      </c>
      <c r="E29" s="25">
        <f>'Support Housing'!E29+'FC TOTAL'!E29+'SS Total'!E29+Comms!E29+Fundraising!E29+'Proj Dev'!E29+Admin_Total!E29</f>
        <v>175</v>
      </c>
      <c r="F29" s="25">
        <f>'Support Housing'!F29+'FC TOTAL'!F29+'SS Total'!F29+Comms!F29+Fundraising!F29+'Proj Dev'!F29+Admin_Total!F29</f>
        <v>175</v>
      </c>
      <c r="G29" s="25">
        <f>'Support Housing'!G29+'FC TOTAL'!G29+'SS Total'!G29+Comms!G29+Fundraising!G29+'Proj Dev'!G29+Admin_Total!G29</f>
        <v>175</v>
      </c>
      <c r="H29" s="25">
        <f>'Support Housing'!H29+'FC TOTAL'!H29+'SS Total'!H29+Comms!H29+Fundraising!H29+'Proj Dev'!H29+Admin_Total!H29</f>
        <v>175</v>
      </c>
      <c r="I29" s="25">
        <f>'Support Housing'!I29+'FC TOTAL'!I29+'SS Total'!I29+Comms!I29+Fundraising!I29+'Proj Dev'!I29+Admin_Total!I29</f>
        <v>175</v>
      </c>
      <c r="J29" s="25">
        <f>'Support Housing'!J29+'FC TOTAL'!J29+'SS Total'!J29+Comms!J29+Fundraising!J29+'Proj Dev'!J29+Admin_Total!J29</f>
        <v>175</v>
      </c>
      <c r="K29" s="25">
        <f>'Support Housing'!K29+'FC TOTAL'!K29+'SS Total'!K29+Comms!K29+Fundraising!K29+'Proj Dev'!K29+Admin_Total!K29</f>
        <v>175</v>
      </c>
      <c r="L29" s="25">
        <f>'Support Housing'!L29+'FC TOTAL'!L29+'SS Total'!L29+Comms!L29+Fundraising!L29+'Proj Dev'!L29+Admin_Total!L29</f>
        <v>175</v>
      </c>
      <c r="M29" s="25">
        <f>'Support Housing'!M29+'FC TOTAL'!M29+'SS Total'!M29+Comms!M29+Fundraising!M29+'Proj Dev'!M29+Admin_Total!M29</f>
        <v>175</v>
      </c>
      <c r="N29" s="25">
        <f>'Support Housing'!N29+'FC TOTAL'!N29+'SS Total'!N29+Comms!N29+Fundraising!N29+'Proj Dev'!N29+Admin_Total!N29</f>
        <v>175</v>
      </c>
      <c r="O29" s="25">
        <f>'Support Housing'!O29+'FC TOTAL'!O29+'SS Total'!O29+Comms!O29+Fundraising!O29+'Proj Dev'!O29+Admin_Total!O29</f>
        <v>175</v>
      </c>
      <c r="P29" s="25">
        <f>SUM(D29:O29)</f>
        <v>2100</v>
      </c>
    </row>
    <row r="30" spans="1:16" x14ac:dyDescent="0.3">
      <c r="A30" s="36" t="s">
        <v>17</v>
      </c>
      <c r="B30" s="36" t="s">
        <v>20</v>
      </c>
      <c r="C30" s="25"/>
      <c r="D30" s="25">
        <f>'Support Housing'!D30+'FC TOTAL'!D30+'SS Total'!D30+Comms!D30+Fundraising!D30+'Proj Dev'!D30+Admin_Total!D30</f>
        <v>150</v>
      </c>
      <c r="E30" s="25">
        <f>'Support Housing'!E30+'FC TOTAL'!E30+'SS Total'!E30+Comms!E30+Fundraising!E30+'Proj Dev'!E30+Admin_Total!E30</f>
        <v>40150</v>
      </c>
      <c r="F30" s="25">
        <f>'Support Housing'!F30+'FC TOTAL'!F30+'SS Total'!F30+Comms!F30+Fundraising!F30+'Proj Dev'!F30+Admin_Total!F30</f>
        <v>150</v>
      </c>
      <c r="G30" s="25">
        <f>'Support Housing'!G30+'FC TOTAL'!G30+'SS Total'!G30+Comms!G30+Fundraising!G30+'Proj Dev'!G30+Admin_Total!G30</f>
        <v>150</v>
      </c>
      <c r="H30" s="25">
        <f>'Support Housing'!H30+'FC TOTAL'!H30+'SS Total'!H30+Comms!H30+Fundraising!H30+'Proj Dev'!H30+Admin_Total!H30</f>
        <v>150</v>
      </c>
      <c r="I30" s="25">
        <f>'Support Housing'!I30+'FC TOTAL'!I30+'SS Total'!I30+Comms!I30+Fundraising!I30+'Proj Dev'!I30+Admin_Total!I30</f>
        <v>150</v>
      </c>
      <c r="J30" s="25">
        <f>'Support Housing'!J30+'FC TOTAL'!J30+'SS Total'!J30+Comms!J30+Fundraising!J30+'Proj Dev'!J30+Admin_Total!J30</f>
        <v>150</v>
      </c>
      <c r="K30" s="25">
        <f>'Support Housing'!K30+'FC TOTAL'!K30+'SS Total'!K30+Comms!K30+Fundraising!K30+'Proj Dev'!K30+Admin_Total!K30</f>
        <v>150</v>
      </c>
      <c r="L30" s="25">
        <f>'Support Housing'!L30+'FC TOTAL'!L30+'SS Total'!L30+Comms!L30+Fundraising!L30+'Proj Dev'!L30+Admin_Total!L30</f>
        <v>150</v>
      </c>
      <c r="M30" s="25">
        <f>'Support Housing'!M30+'FC TOTAL'!M30+'SS Total'!M30+Comms!M30+Fundraising!M30+'Proj Dev'!M30+Admin_Total!M30</f>
        <v>150</v>
      </c>
      <c r="N30" s="25">
        <f>'Support Housing'!N30+'FC TOTAL'!N30+'SS Total'!N30+Comms!N30+Fundraising!N30+'Proj Dev'!N30+Admin_Total!N30</f>
        <v>150</v>
      </c>
      <c r="O30" s="25">
        <f>'Support Housing'!O30+'FC TOTAL'!O30+'SS Total'!O30+Comms!O30+Fundraising!O30+'Proj Dev'!O30+Admin_Total!O30</f>
        <v>150</v>
      </c>
      <c r="P30" s="25">
        <f>SUM(D30:O30)</f>
        <v>41800</v>
      </c>
    </row>
    <row r="31" spans="1:16" x14ac:dyDescent="0.3">
      <c r="A31" s="36" t="s">
        <v>17</v>
      </c>
      <c r="B31" s="36" t="s">
        <v>21</v>
      </c>
      <c r="C31" s="25"/>
      <c r="D31" s="25">
        <f>'Support Housing'!D31+'FC TOTAL'!D31+'SS Total'!D31+Comms!D31+Fundraising!D31+'Proj Dev'!D31+Admin_Total!D31</f>
        <v>0</v>
      </c>
      <c r="E31" s="25">
        <f>'Support Housing'!E31+'FC TOTAL'!E31+'SS Total'!E31+Comms!E31+Fundraising!E31+'Proj Dev'!E31+Admin_Total!E31</f>
        <v>0</v>
      </c>
      <c r="F31" s="25">
        <f>'Support Housing'!F31+'FC TOTAL'!F31+'SS Total'!F31+Comms!F31+Fundraising!F31+'Proj Dev'!F31+Admin_Total!F31</f>
        <v>0</v>
      </c>
      <c r="G31" s="25">
        <f>'Support Housing'!G31+'FC TOTAL'!G31+'SS Total'!G31+Comms!G31+Fundraising!G31+'Proj Dev'!G31+Admin_Total!G31</f>
        <v>0</v>
      </c>
      <c r="H31" s="25">
        <f>'Support Housing'!H31+'FC TOTAL'!H31+'SS Total'!H31+Comms!H31+Fundraising!H31+'Proj Dev'!H31+Admin_Total!H31</f>
        <v>0</v>
      </c>
      <c r="I31" s="25">
        <f>'Support Housing'!I31+'FC TOTAL'!I31+'SS Total'!I31+Comms!I31+Fundraising!I31+'Proj Dev'!I31+Admin_Total!I31</f>
        <v>0</v>
      </c>
      <c r="J31" s="25">
        <f>'Support Housing'!J31+'FC TOTAL'!J31+'SS Total'!J31+Comms!J31+Fundraising!J31+'Proj Dev'!J31+Admin_Total!J31</f>
        <v>0</v>
      </c>
      <c r="K31" s="25">
        <f>'Support Housing'!K31+'FC TOTAL'!K31+'SS Total'!K31+Comms!K31+Fundraising!K31+'Proj Dev'!K31+Admin_Total!K31</f>
        <v>0</v>
      </c>
      <c r="L31" s="25">
        <f>'Support Housing'!L31+'FC TOTAL'!L31+'SS Total'!L31+Comms!L31+Fundraising!L31+'Proj Dev'!L31+Admin_Total!L31</f>
        <v>0</v>
      </c>
      <c r="M31" s="25">
        <f>'Support Housing'!M31+'FC TOTAL'!M31+'SS Total'!M31+Comms!M31+Fundraising!M31+'Proj Dev'!M31+Admin_Total!M31</f>
        <v>0</v>
      </c>
      <c r="N31" s="25">
        <f>'Support Housing'!N31+'FC TOTAL'!N31+'SS Total'!N31+Comms!N31+Fundraising!N31+'Proj Dev'!N31+Admin_Total!N31</f>
        <v>0</v>
      </c>
      <c r="O31" s="25">
        <f>'Support Housing'!O31+'FC TOTAL'!O31+'SS Total'!O31+Comms!O31+Fundraising!O31+'Proj Dev'!O31+Admin_Total!O31</f>
        <v>0</v>
      </c>
      <c r="P31" s="25">
        <f>SUM(D31:O31)</f>
        <v>0</v>
      </c>
    </row>
    <row r="32" spans="1:16" x14ac:dyDescent="0.3">
      <c r="A32" s="26"/>
      <c r="B32" s="26"/>
      <c r="C32" s="25"/>
      <c r="D32" s="30">
        <f>D12+D18+D26+D28+D29+D30+D31</f>
        <v>312905.19193452055</v>
      </c>
      <c r="E32" s="30">
        <f t="shared" ref="E32:P32" si="5">E12+E18+E26+E28+E29+E30+E31</f>
        <v>321783.03245698626</v>
      </c>
      <c r="F32" s="30">
        <f t="shared" si="5"/>
        <v>320770.22093452053</v>
      </c>
      <c r="G32" s="30">
        <f t="shared" si="5"/>
        <v>295540.64477534249</v>
      </c>
      <c r="H32" s="30">
        <f t="shared" si="5"/>
        <v>302375.03843452054</v>
      </c>
      <c r="I32" s="30">
        <f t="shared" si="5"/>
        <v>295890.12377534248</v>
      </c>
      <c r="J32" s="30">
        <f t="shared" si="5"/>
        <v>316806.53843452054</v>
      </c>
      <c r="K32" s="30">
        <f t="shared" si="5"/>
        <v>308665.03843452054</v>
      </c>
      <c r="L32" s="30">
        <f t="shared" si="5"/>
        <v>300128.12377534248</v>
      </c>
      <c r="M32" s="30">
        <f t="shared" si="5"/>
        <v>306614.03843452054</v>
      </c>
      <c r="N32" s="30">
        <f t="shared" si="5"/>
        <v>300128.12377534248</v>
      </c>
      <c r="O32" s="30">
        <f t="shared" si="5"/>
        <v>1198824.4252687669</v>
      </c>
      <c r="P32" s="30">
        <f t="shared" si="5"/>
        <v>4580430.5404342469</v>
      </c>
    </row>
    <row r="33" spans="1:16" x14ac:dyDescent="0.3">
      <c r="A33" s="26"/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x14ac:dyDescent="0.3">
      <c r="A34" s="194" t="s">
        <v>22</v>
      </c>
      <c r="B34" s="19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 x14ac:dyDescent="0.3">
      <c r="A35" s="26"/>
      <c r="B35" s="36" t="s">
        <v>23</v>
      </c>
      <c r="C35" s="25"/>
      <c r="D35" s="25">
        <f>'Support Housing'!D35+'FC TOTAL'!D35+'SS Total'!D35+Comms!D35+Fundraising!D35+'Proj Dev'!D35+Admin_Total!D35</f>
        <v>213220.04928000004</v>
      </c>
      <c r="E35" s="25">
        <f>'Support Housing'!E35+'FC TOTAL'!E35+'SS Total'!E35+Comms!E35+Fundraising!E35+'Proj Dev'!E35+Admin_Total!E35</f>
        <v>213220.04928000004</v>
      </c>
      <c r="F35" s="25">
        <f>'Support Housing'!F35+'FC TOTAL'!F35+'SS Total'!F35+Comms!F35+Fundraising!F35+'Proj Dev'!F35+Admin_Total!F35</f>
        <v>319830.07392000005</v>
      </c>
      <c r="G35" s="25">
        <f>'Support Housing'!G35+'FC TOTAL'!G35+'SS Total'!G35+Comms!G35+Fundraising!G35+'Proj Dev'!G35+Admin_Total!G35</f>
        <v>213220.04928000004</v>
      </c>
      <c r="H35" s="25">
        <f>'Support Housing'!H35+'FC TOTAL'!H35+'SS Total'!H35+Comms!H35+Fundraising!H35+'Proj Dev'!H35+Admin_Total!H35</f>
        <v>213220.04928000004</v>
      </c>
      <c r="I35" s="25">
        <f>'Support Housing'!I35+'FC TOTAL'!I35+'SS Total'!I35+Comms!I35+Fundraising!I35+'Proj Dev'!I35+Admin_Total!I35</f>
        <v>213220.04928000004</v>
      </c>
      <c r="J35" s="25">
        <f>'Support Housing'!J35+'FC TOTAL'!J35+'SS Total'!J35+Comms!J35+Fundraising!J35+'Proj Dev'!J35+Admin_Total!J35</f>
        <v>213220.04928000004</v>
      </c>
      <c r="K35" s="25">
        <f>'Support Housing'!K35+'FC TOTAL'!K35+'SS Total'!K35+Comms!K35+Fundraising!K35+'Proj Dev'!K35+Admin_Total!K35</f>
        <v>319830.07392000005</v>
      </c>
      <c r="L35" s="25">
        <f>'Support Housing'!L35+'FC TOTAL'!L35+'SS Total'!L35+Comms!L35+Fundraising!L35+'Proj Dev'!L35+Admin_Total!L35</f>
        <v>213220.04928000004</v>
      </c>
      <c r="M35" s="25">
        <f>'Support Housing'!M35+'FC TOTAL'!M35+'SS Total'!M35+Comms!M35+Fundraising!M35+'Proj Dev'!M35+Admin_Total!M35</f>
        <v>213220.04928000004</v>
      </c>
      <c r="N35" s="25">
        <f>'Support Housing'!N35+'FC TOTAL'!N35+'SS Total'!N35+Comms!N35+Fundraising!N35+'Proj Dev'!N35+Admin_Total!N35</f>
        <v>213220.04928000004</v>
      </c>
      <c r="O35" s="25">
        <f>'Support Housing'!O35+'FC TOTAL'!O35+'SS Total'!O35+Comms!O35+Fundraising!O35+'Proj Dev'!O35+Admin_Total!O35</f>
        <v>213220.04928000004</v>
      </c>
      <c r="P35" s="25">
        <f>SUM(D35:O35)</f>
        <v>2771860.6406400003</v>
      </c>
    </row>
    <row r="36" spans="1:16" x14ac:dyDescent="0.3">
      <c r="A36" s="26"/>
      <c r="B36" s="36" t="s">
        <v>24</v>
      </c>
      <c r="C36" s="25"/>
      <c r="D36" s="25">
        <f>'Support Housing'!D36+'FC TOTAL'!D36+'SS Total'!D36+Comms!D36+Fundraising!D36+'Proj Dev'!D36+Admin_Total!D36</f>
        <v>15671.673622080001</v>
      </c>
      <c r="E36" s="25">
        <f>'Support Housing'!E36+'FC TOTAL'!E36+'SS Total'!E36+Comms!E36+Fundraising!E36+'Proj Dev'!E36+Admin_Total!E36</f>
        <v>15671.673622080001</v>
      </c>
      <c r="F36" s="25">
        <f>'Support Housing'!F36+'FC TOTAL'!F36+'SS Total'!F36+Comms!F36+Fundraising!F36+'Proj Dev'!F36+Admin_Total!F36</f>
        <v>23507.510433120002</v>
      </c>
      <c r="G36" s="25">
        <f>'Support Housing'!G36+'FC TOTAL'!G36+'SS Total'!G36+Comms!G36+Fundraising!G36+'Proj Dev'!G36+Admin_Total!G36</f>
        <v>15671.673622080001</v>
      </c>
      <c r="H36" s="25">
        <f>'Support Housing'!H36+'FC TOTAL'!H36+'SS Total'!H36+Comms!H36+Fundraising!H36+'Proj Dev'!H36+Admin_Total!H36</f>
        <v>15671.673622080001</v>
      </c>
      <c r="I36" s="25">
        <f>'Support Housing'!I36+'FC TOTAL'!I36+'SS Total'!I36+Comms!I36+Fundraising!I36+'Proj Dev'!I36+Admin_Total!I36</f>
        <v>15671.673622080001</v>
      </c>
      <c r="J36" s="25">
        <f>'Support Housing'!J36+'FC TOTAL'!J36+'SS Total'!J36+Comms!J36+Fundraising!J36+'Proj Dev'!J36+Admin_Total!J36</f>
        <v>15671.673622080001</v>
      </c>
      <c r="K36" s="25">
        <f>'Support Housing'!K36+'FC TOTAL'!K36+'SS Total'!K36+Comms!K36+Fundraising!K36+'Proj Dev'!K36+Admin_Total!K36</f>
        <v>23507.510433120002</v>
      </c>
      <c r="L36" s="25">
        <f>'Support Housing'!L36+'FC TOTAL'!L36+'SS Total'!L36+Comms!L36+Fundraising!L36+'Proj Dev'!L36+Admin_Total!L36</f>
        <v>15671.673622080001</v>
      </c>
      <c r="M36" s="25">
        <f>'Support Housing'!M36+'FC TOTAL'!M36+'SS Total'!M36+Comms!M36+Fundraising!M36+'Proj Dev'!M36+Admin_Total!M36</f>
        <v>15671.673622080001</v>
      </c>
      <c r="N36" s="25">
        <f>'Support Housing'!N36+'FC TOTAL'!N36+'SS Total'!N36+Comms!N36+Fundraising!N36+'Proj Dev'!N36+Admin_Total!N36</f>
        <v>15671.673622080001</v>
      </c>
      <c r="O36" s="25">
        <f>'Support Housing'!O36+'FC TOTAL'!O36+'SS Total'!O36+Comms!O36+Fundraising!O36+'Proj Dev'!O36+Admin_Total!O36</f>
        <v>15671.673622080001</v>
      </c>
      <c r="P36" s="25">
        <f t="shared" ref="P36:P42" si="6">SUM(D36:O36)</f>
        <v>203731.75708704008</v>
      </c>
    </row>
    <row r="37" spans="1:16" x14ac:dyDescent="0.3">
      <c r="A37" s="26"/>
      <c r="B37" s="36" t="s">
        <v>25</v>
      </c>
      <c r="C37" s="25"/>
      <c r="D37" s="25">
        <f>'Support Housing'!D37+'FC TOTAL'!D37+'SS Total'!D37+Comms!D37+Fundraising!D37+'Proj Dev'!D37+Admin_Total!D37</f>
        <v>0</v>
      </c>
      <c r="E37" s="25">
        <f>'Support Housing'!E37+'FC TOTAL'!E37+'SS Total'!E37+Comms!E37+Fundraising!E37+'Proj Dev'!E37+Admin_Total!E37</f>
        <v>0</v>
      </c>
      <c r="F37" s="25">
        <f>'Support Housing'!F37+'FC TOTAL'!F37+'SS Total'!F37+Comms!F37+Fundraising!F37+'Proj Dev'!F37+Admin_Total!F37</f>
        <v>0</v>
      </c>
      <c r="G37" s="25">
        <f>'Support Housing'!G37+'FC TOTAL'!G37+'SS Total'!G37+Comms!G37+Fundraising!G37+'Proj Dev'!G37+Admin_Total!G37</f>
        <v>0</v>
      </c>
      <c r="H37" s="25">
        <f>'Support Housing'!H37+'FC TOTAL'!H37+'SS Total'!H37+Comms!H37+Fundraising!H37+'Proj Dev'!H37+Admin_Total!H37</f>
        <v>0</v>
      </c>
      <c r="I37" s="25">
        <f>'Support Housing'!I37+'FC TOTAL'!I37+'SS Total'!I37+Comms!I37+Fundraising!I37+'Proj Dev'!I37+Admin_Total!I37</f>
        <v>0</v>
      </c>
      <c r="J37" s="25">
        <f>'Support Housing'!J37+'FC TOTAL'!J37+'SS Total'!J37+Comms!J37+Fundraising!J37+'Proj Dev'!J37+Admin_Total!J37</f>
        <v>0</v>
      </c>
      <c r="K37" s="25">
        <f>'Support Housing'!K37+'FC TOTAL'!K37+'SS Total'!K37+Comms!K37+Fundraising!K37+'Proj Dev'!K37+Admin_Total!K37</f>
        <v>0</v>
      </c>
      <c r="L37" s="25">
        <f>'Support Housing'!L37+'FC TOTAL'!L37+'SS Total'!L37+Comms!L37+Fundraising!L37+'Proj Dev'!L37+Admin_Total!L37</f>
        <v>0</v>
      </c>
      <c r="M37" s="25">
        <f>'Support Housing'!M37+'FC TOTAL'!M37+'SS Total'!M37+Comms!M37+Fundraising!M37+'Proj Dev'!M37+Admin_Total!M37</f>
        <v>0</v>
      </c>
      <c r="N37" s="25">
        <f>'Support Housing'!N37+'FC TOTAL'!N37+'SS Total'!N37+Comms!N37+Fundraising!N37+'Proj Dev'!N37+Admin_Total!N37</f>
        <v>0</v>
      </c>
      <c r="O37" s="25">
        <f>'Support Housing'!O37+'FC TOTAL'!O37+'SS Total'!O37+Comms!O37+Fundraising!O37+'Proj Dev'!O37+Admin_Total!O37</f>
        <v>0</v>
      </c>
      <c r="P37" s="25">
        <f t="shared" si="6"/>
        <v>0</v>
      </c>
    </row>
    <row r="38" spans="1:16" x14ac:dyDescent="0.3">
      <c r="A38" s="26"/>
      <c r="B38" s="36" t="s">
        <v>26</v>
      </c>
      <c r="C38" s="25"/>
      <c r="D38" s="25">
        <f>'Support Housing'!D38+'FC TOTAL'!D38+'SS Total'!D38+Comms!D38+Fundraising!D38+'Proj Dev'!D38+Admin_Total!D38</f>
        <v>25675.990382864878</v>
      </c>
      <c r="E38" s="25">
        <f>'Support Housing'!E38+'FC TOTAL'!E38+'SS Total'!E38+Comms!E38+Fundraising!E38+'Proj Dev'!E38+Admin_Total!E38</f>
        <v>25676.171554346882</v>
      </c>
      <c r="F38" s="25">
        <f>'Support Housing'!F38+'FC TOTAL'!F38+'SS Total'!F38+Comms!F38+Fundraising!F38+'Proj Dev'!F38+Admin_Total!F38</f>
        <v>38514.257331520319</v>
      </c>
      <c r="G38" s="25">
        <f>'Support Housing'!G38+'FC TOTAL'!G38+'SS Total'!G38+Comms!G38+Fundraising!G38+'Proj Dev'!G38+Admin_Total!G38</f>
        <v>25676.171554346882</v>
      </c>
      <c r="H38" s="25">
        <f>'Support Housing'!H38+'FC TOTAL'!H38+'SS Total'!H38+Comms!H38+Fundraising!H38+'Proj Dev'!H38+Admin_Total!H38</f>
        <v>25676.171554346882</v>
      </c>
      <c r="I38" s="25">
        <f>'Support Housing'!I38+'FC TOTAL'!I38+'SS Total'!I38+Comms!I38+Fundraising!I38+'Proj Dev'!I38+Admin_Total!I38</f>
        <v>25676.171554346882</v>
      </c>
      <c r="J38" s="25">
        <f>'Support Housing'!J38+'FC TOTAL'!J38+'SS Total'!J38+Comms!J38+Fundraising!J38+'Proj Dev'!J38+Admin_Total!J38</f>
        <v>25676.171554346882</v>
      </c>
      <c r="K38" s="25">
        <f>'Support Housing'!K38+'FC TOTAL'!K38+'SS Total'!K38+Comms!K38+Fundraising!K38+'Proj Dev'!K38+Admin_Total!K38</f>
        <v>38514.257331520319</v>
      </c>
      <c r="L38" s="25">
        <f>'Support Housing'!L38+'FC TOTAL'!L38+'SS Total'!L38+Comms!L38+Fundraising!L38+'Proj Dev'!L38+Admin_Total!L38</f>
        <v>25676.171554346882</v>
      </c>
      <c r="M38" s="25">
        <f>'Support Housing'!M38+'FC TOTAL'!M38+'SS Total'!M38+Comms!M38+Fundraising!M38+'Proj Dev'!M38+Admin_Total!M38</f>
        <v>25676.171554346882</v>
      </c>
      <c r="N38" s="25">
        <f>'Support Housing'!N38+'FC TOTAL'!N38+'SS Total'!N38+Comms!N38+Fundraising!N38+'Proj Dev'!N38+Admin_Total!N38</f>
        <v>25676.171554346882</v>
      </c>
      <c r="O38" s="25">
        <f>'Support Housing'!O38+'FC TOTAL'!O38+'SS Total'!O38+Comms!O38+Fundraising!O38+'Proj Dev'!O38+Admin_Total!O38</f>
        <v>25676.171554346882</v>
      </c>
      <c r="P38" s="25">
        <f t="shared" si="6"/>
        <v>333790.04903502745</v>
      </c>
    </row>
    <row r="39" spans="1:16" x14ac:dyDescent="0.3">
      <c r="A39" s="26"/>
      <c r="B39" s="36" t="s">
        <v>27</v>
      </c>
      <c r="C39" s="25"/>
      <c r="D39" s="25">
        <f>'Support Housing'!D39+'FC TOTAL'!D39+'SS Total'!D39+Comms!D39+Fundraising!D39+'Proj Dev'!D39+Admin_Total!D39</f>
        <v>2384.9511472590716</v>
      </c>
      <c r="E39" s="25">
        <f>'Support Housing'!E39+'FC TOTAL'!E39+'SS Total'!E39+Comms!E39+Fundraising!E39+'Proj Dev'!E39+Admin_Total!E39</f>
        <v>2384.9511472590716</v>
      </c>
      <c r="F39" s="25">
        <f>'Support Housing'!F39+'FC TOTAL'!F39+'SS Total'!F39+Comms!F39+Fundraising!F39+'Proj Dev'!F39+Admin_Total!F39</f>
        <v>3577.426720888609</v>
      </c>
      <c r="G39" s="25">
        <f>'Support Housing'!G39+'FC TOTAL'!G39+'SS Total'!G39+Comms!G39+Fundraising!G39+'Proj Dev'!G39+Admin_Total!G39</f>
        <v>2384.9511472590716</v>
      </c>
      <c r="H39" s="25">
        <f>'Support Housing'!H39+'FC TOTAL'!H39+'SS Total'!H39+Comms!H39+Fundraising!H39+'Proj Dev'!H39+Admin_Total!H39</f>
        <v>2384.9511472590716</v>
      </c>
      <c r="I39" s="25">
        <f>'Support Housing'!I39+'FC TOTAL'!I39+'SS Total'!I39+Comms!I39+Fundraising!I39+'Proj Dev'!I39+Admin_Total!I39</f>
        <v>2384.9511472590716</v>
      </c>
      <c r="J39" s="25">
        <f>'Support Housing'!J39+'FC TOTAL'!J39+'SS Total'!J39+Comms!J39+Fundraising!J39+'Proj Dev'!J39+Admin_Total!J39</f>
        <v>2384.9511472590716</v>
      </c>
      <c r="K39" s="25">
        <f>'Support Housing'!K39+'FC TOTAL'!K39+'SS Total'!K39+Comms!K39+Fundraising!K39+'Proj Dev'!K39+Admin_Total!K39</f>
        <v>3577.426720888609</v>
      </c>
      <c r="L39" s="25">
        <f>'Support Housing'!L39+'FC TOTAL'!L39+'SS Total'!L39+Comms!L39+Fundraising!L39+'Proj Dev'!L39+Admin_Total!L39</f>
        <v>2384.9511472590716</v>
      </c>
      <c r="M39" s="25">
        <f>'Support Housing'!M39+'FC TOTAL'!M39+'SS Total'!M39+Comms!M39+Fundraising!M39+'Proj Dev'!M39+Admin_Total!M39</f>
        <v>2384.9511472590716</v>
      </c>
      <c r="N39" s="25">
        <f>'Support Housing'!N39+'FC TOTAL'!N39+'SS Total'!N39+Comms!N39+Fundraising!N39+'Proj Dev'!N39+Admin_Total!N39</f>
        <v>2384.9511472590716</v>
      </c>
      <c r="O39" s="25">
        <f>'Support Housing'!O39+'FC TOTAL'!O39+'SS Total'!O39+Comms!O39+Fundraising!O39+'Proj Dev'!O39+Admin_Total!O39</f>
        <v>2384.9511472590716</v>
      </c>
      <c r="P39" s="25">
        <f t="shared" si="6"/>
        <v>31004.364914367932</v>
      </c>
    </row>
    <row r="40" spans="1:16" x14ac:dyDescent="0.3">
      <c r="A40" s="26"/>
      <c r="B40" s="36" t="s">
        <v>28</v>
      </c>
      <c r="C40" s="25"/>
      <c r="D40" s="25">
        <f>'Support Housing'!D40+'FC TOTAL'!D40+'SS Total'!D40+Comms!D40+Fundraising!D40+'Proj Dev'!D40+Admin_Total!D40</f>
        <v>5933.0749631999997</v>
      </c>
      <c r="E40" s="25">
        <f>'Support Housing'!E40+'FC TOTAL'!E40+'SS Total'!E40+Comms!E40+Fundraising!E40+'Proj Dev'!E40+Admin_Total!E40</f>
        <v>5933.0749631999997</v>
      </c>
      <c r="F40" s="25">
        <f>'Support Housing'!F40+'FC TOTAL'!F40+'SS Total'!F40+Comms!F40+Fundraising!F40+'Proj Dev'!F40+Admin_Total!F40</f>
        <v>8899.612444800001</v>
      </c>
      <c r="G40" s="25">
        <f>'Support Housing'!G40+'FC TOTAL'!G40+'SS Total'!G40+Comms!G40+Fundraising!G40+'Proj Dev'!G40+Admin_Total!G40</f>
        <v>5933.0749631999997</v>
      </c>
      <c r="H40" s="25">
        <f>'Support Housing'!H40+'FC TOTAL'!H40+'SS Total'!H40+Comms!H40+Fundraising!H40+'Proj Dev'!H40+Admin_Total!H40</f>
        <v>5933.0749631999997</v>
      </c>
      <c r="I40" s="25">
        <f>'Support Housing'!I40+'FC TOTAL'!I40+'SS Total'!I40+Comms!I40+Fundraising!I40+'Proj Dev'!I40+Admin_Total!I40</f>
        <v>5933.0749631999997</v>
      </c>
      <c r="J40" s="25">
        <f>'Support Housing'!J40+'FC TOTAL'!J40+'SS Total'!J40+Comms!J40+Fundraising!J40+'Proj Dev'!J40+Admin_Total!J40</f>
        <v>5933.0749631999997</v>
      </c>
      <c r="K40" s="25">
        <f>'Support Housing'!K40+'FC TOTAL'!K40+'SS Total'!K40+Comms!K40+Fundraising!K40+'Proj Dev'!K40+Admin_Total!K40</f>
        <v>8899.612444800001</v>
      </c>
      <c r="L40" s="25">
        <f>'Support Housing'!L40+'FC TOTAL'!L40+'SS Total'!L40+Comms!L40+Fundraising!L40+'Proj Dev'!L40+Admin_Total!L40</f>
        <v>5933.0749631999997</v>
      </c>
      <c r="M40" s="25">
        <f>'Support Housing'!M40+'FC TOTAL'!M40+'SS Total'!M40+Comms!M40+Fundraising!M40+'Proj Dev'!M40+Admin_Total!M40</f>
        <v>5933.0749631999997</v>
      </c>
      <c r="N40" s="25">
        <f>'Support Housing'!N40+'FC TOTAL'!N40+'SS Total'!N40+Comms!N40+Fundraising!N40+'Proj Dev'!N40+Admin_Total!N40</f>
        <v>5933.0749631999997</v>
      </c>
      <c r="O40" s="25">
        <f>'Support Housing'!O40+'FC TOTAL'!O40+'SS Total'!O40+Comms!O40+Fundraising!O40+'Proj Dev'!O40+Admin_Total!O40</f>
        <v>5933.0749631999997</v>
      </c>
      <c r="P40" s="25">
        <f t="shared" si="6"/>
        <v>77129.974521599986</v>
      </c>
    </row>
    <row r="41" spans="1:16" x14ac:dyDescent="0.3">
      <c r="A41" s="26"/>
      <c r="B41" s="36" t="s">
        <v>29</v>
      </c>
      <c r="C41" s="25"/>
      <c r="D41" s="25">
        <f>'Support Housing'!D41+'FC TOTAL'!D41+'SS Total'!D41+Comms!D41+Fundraising!D41+'Proj Dev'!D41+Admin_Total!D41</f>
        <v>2927.5112766143998</v>
      </c>
      <c r="E41" s="25">
        <f>'Support Housing'!E41+'FC TOTAL'!E41+'SS Total'!E41+Comms!E41+Fundraising!E41+'Proj Dev'!E41+Admin_Total!E41</f>
        <v>2927.5112766143998</v>
      </c>
      <c r="F41" s="25">
        <f>'Support Housing'!F41+'FC TOTAL'!F41+'SS Total'!F41+Comms!F41+Fundraising!F41+'Proj Dev'!F41+Admin_Total!F41</f>
        <v>4391.2669149215999</v>
      </c>
      <c r="G41" s="25">
        <f>'Support Housing'!G41+'FC TOTAL'!G41+'SS Total'!G41+Comms!G41+Fundraising!G41+'Proj Dev'!G41+Admin_Total!G41</f>
        <v>2927.5112766143998</v>
      </c>
      <c r="H41" s="25">
        <f>'Support Housing'!H41+'FC TOTAL'!H41+'SS Total'!H41+Comms!H41+Fundraising!H41+'Proj Dev'!H41+Admin_Total!H41</f>
        <v>2927.5112766143998</v>
      </c>
      <c r="I41" s="25">
        <f>'Support Housing'!I41+'FC TOTAL'!I41+'SS Total'!I41+Comms!I41+Fundraising!I41+'Proj Dev'!I41+Admin_Total!I41</f>
        <v>2927.5112766143998</v>
      </c>
      <c r="J41" s="25">
        <f>'Support Housing'!J41+'FC TOTAL'!J41+'SS Total'!J41+Comms!J41+Fundraising!J41+'Proj Dev'!J41+Admin_Total!J41</f>
        <v>2927.5112766143998</v>
      </c>
      <c r="K41" s="25">
        <f>'Support Housing'!K41+'FC TOTAL'!K41+'SS Total'!K41+Comms!K41+Fundraising!K41+'Proj Dev'!K41+Admin_Total!K41</f>
        <v>4391.2669149215999</v>
      </c>
      <c r="L41" s="25">
        <f>'Support Housing'!L41+'FC TOTAL'!L41+'SS Total'!L41+Comms!L41+Fundraising!L41+'Proj Dev'!L41+Admin_Total!L41</f>
        <v>2927.5112766143998</v>
      </c>
      <c r="M41" s="25">
        <f>'Support Housing'!M41+'FC TOTAL'!M41+'SS Total'!M41+Comms!M41+Fundraising!M41+'Proj Dev'!M41+Admin_Total!M41</f>
        <v>2927.5112766143998</v>
      </c>
      <c r="N41" s="25">
        <f>'Support Housing'!N41+'FC TOTAL'!N41+'SS Total'!N41+Comms!N41+Fundraising!N41+'Proj Dev'!N41+Admin_Total!N41</f>
        <v>2927.5112766143998</v>
      </c>
      <c r="O41" s="25">
        <f>'Support Housing'!O41+'FC TOTAL'!O41+'SS Total'!O41+Comms!O41+Fundraising!O41+'Proj Dev'!O41+Admin_Total!O41</f>
        <v>2927.5112766143998</v>
      </c>
      <c r="P41" s="25">
        <f t="shared" si="6"/>
        <v>38057.646595987208</v>
      </c>
    </row>
    <row r="42" spans="1:16" x14ac:dyDescent="0.3">
      <c r="A42" s="26"/>
      <c r="B42" s="36" t="s">
        <v>16</v>
      </c>
      <c r="C42" s="25"/>
      <c r="D42" s="25">
        <f>'Support Housing'!D42+'FC TOTAL'!D42+'SS Total'!D42+Comms!D42+Fundraising!D42+'Proj Dev'!D42+Admin_Total!D42</f>
        <v>0</v>
      </c>
      <c r="E42" s="25">
        <f>'Support Housing'!E42+'FC TOTAL'!E42+'SS Total'!E42+Comms!E42+Fundraising!E42+'Proj Dev'!E42+Admin_Total!E42</f>
        <v>0</v>
      </c>
      <c r="F42" s="25">
        <f>'Support Housing'!F42+'FC TOTAL'!F42+'SS Total'!F42+Comms!F42+Fundraising!F42+'Proj Dev'!F42+Admin_Total!F42</f>
        <v>0</v>
      </c>
      <c r="G42" s="25">
        <f>'Support Housing'!G42+'FC TOTAL'!G42+'SS Total'!G42+Comms!G42+Fundraising!G42+'Proj Dev'!G42+Admin_Total!G42</f>
        <v>0</v>
      </c>
      <c r="H42" s="25">
        <f>'Support Housing'!H42+'FC TOTAL'!H42+'SS Total'!H42+Comms!H42+Fundraising!H42+'Proj Dev'!H42+Admin_Total!H42</f>
        <v>0</v>
      </c>
      <c r="I42" s="25">
        <f>'Support Housing'!I42+'FC TOTAL'!I42+'SS Total'!I42+Comms!I42+Fundraising!I42+'Proj Dev'!I42+Admin_Total!I42</f>
        <v>0</v>
      </c>
      <c r="J42" s="25">
        <f>'Support Housing'!J42+'FC TOTAL'!J42+'SS Total'!J42+Comms!J42+Fundraising!J42+'Proj Dev'!J42+Admin_Total!J42</f>
        <v>0</v>
      </c>
      <c r="K42" s="25">
        <f>'Support Housing'!K42+'FC TOTAL'!K42+'SS Total'!K42+Comms!K42+Fundraising!K42+'Proj Dev'!K42+Admin_Total!K42</f>
        <v>0</v>
      </c>
      <c r="L42" s="25">
        <f>'Support Housing'!L42+'FC TOTAL'!L42+'SS Total'!L42+Comms!L42+Fundraising!L42+'Proj Dev'!L42+Admin_Total!L42</f>
        <v>0</v>
      </c>
      <c r="M42" s="25">
        <f>'Support Housing'!M42+'FC TOTAL'!M42+'SS Total'!M42+Comms!M42+Fundraising!M42+'Proj Dev'!M42+Admin_Total!M42</f>
        <v>0</v>
      </c>
      <c r="N42" s="25">
        <f>'Support Housing'!N42+'FC TOTAL'!N42+'SS Total'!N42+Comms!N42+Fundraising!N42+'Proj Dev'!N42+Admin_Total!N42</f>
        <v>0</v>
      </c>
      <c r="O42" s="25">
        <f>'Support Housing'!O42+'FC TOTAL'!O42+'SS Total'!O42+Comms!O42+Fundraising!O42+'Proj Dev'!O42+Admin_Total!O42</f>
        <v>0</v>
      </c>
      <c r="P42" s="25">
        <f t="shared" si="6"/>
        <v>0</v>
      </c>
    </row>
    <row r="43" spans="1:16" x14ac:dyDescent="0.3">
      <c r="A43" s="194" t="s">
        <v>31</v>
      </c>
      <c r="B43" s="194"/>
      <c r="C43" s="25"/>
      <c r="D43" s="28">
        <f>SUM(D35:D42)</f>
        <v>265813.25067201839</v>
      </c>
      <c r="E43" s="28">
        <f t="shared" ref="E43:P43" si="7">SUM(E35:E42)</f>
        <v>265813.43184350041</v>
      </c>
      <c r="F43" s="28">
        <f t="shared" si="7"/>
        <v>398720.14776525053</v>
      </c>
      <c r="G43" s="28">
        <f t="shared" si="7"/>
        <v>265813.43184350041</v>
      </c>
      <c r="H43" s="28">
        <f t="shared" si="7"/>
        <v>265813.43184350041</v>
      </c>
      <c r="I43" s="28">
        <f t="shared" si="7"/>
        <v>265813.43184350041</v>
      </c>
      <c r="J43" s="28">
        <f t="shared" si="7"/>
        <v>265813.43184350041</v>
      </c>
      <c r="K43" s="28">
        <f t="shared" si="7"/>
        <v>398720.14776525053</v>
      </c>
      <c r="L43" s="28">
        <f t="shared" si="7"/>
        <v>265813.43184350041</v>
      </c>
      <c r="M43" s="28">
        <f t="shared" si="7"/>
        <v>265813.43184350041</v>
      </c>
      <c r="N43" s="28">
        <f t="shared" si="7"/>
        <v>265813.43184350041</v>
      </c>
      <c r="O43" s="28">
        <f t="shared" si="7"/>
        <v>265813.43184350041</v>
      </c>
      <c r="P43" s="28">
        <f t="shared" si="7"/>
        <v>3455574.4327940233</v>
      </c>
    </row>
    <row r="44" spans="1:16" x14ac:dyDescent="0.3">
      <c r="A44" s="194" t="s">
        <v>32</v>
      </c>
      <c r="B44" s="19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x14ac:dyDescent="0.3">
      <c r="A45" s="26"/>
      <c r="B45" s="36" t="s">
        <v>33</v>
      </c>
      <c r="C45" s="25"/>
      <c r="D45" s="43">
        <f>'Support Housing'!D45+'FC TOTAL'!D45+'SS Total'!D45+Comms!D45+Fundraising!D45+'Proj Dev'!D45+Admin_Total!D45</f>
        <v>4100</v>
      </c>
      <c r="E45" s="43">
        <f>'Support Housing'!E45+'FC TOTAL'!E45+'SS Total'!E45+Comms!E45+Fundraising!E45+'Proj Dev'!E45+Admin_Total!E45</f>
        <v>4100</v>
      </c>
      <c r="F45" s="43">
        <f>'Support Housing'!F45+'FC TOTAL'!F45+'SS Total'!F45+Comms!F45+Fundraising!F45+'Proj Dev'!F45+Admin_Total!F45</f>
        <v>4100</v>
      </c>
      <c r="G45" s="43">
        <f>'Support Housing'!G45+'FC TOTAL'!G45+'SS Total'!G45+Comms!G45+Fundraising!G45+'Proj Dev'!G45+Admin_Total!G45</f>
        <v>4100</v>
      </c>
      <c r="H45" s="43">
        <f>'Support Housing'!H45+'FC TOTAL'!H45+'SS Total'!H45+Comms!H45+Fundraising!H45+'Proj Dev'!H45+Admin_Total!H45</f>
        <v>4100</v>
      </c>
      <c r="I45" s="43">
        <f>'Support Housing'!I45+'FC TOTAL'!I45+'SS Total'!I45+Comms!I45+Fundraising!I45+'Proj Dev'!I45+Admin_Total!I45</f>
        <v>4100</v>
      </c>
      <c r="J45" s="25">
        <f>'Support Housing'!J45+'FC TOTAL'!J45+'SS Total'!J45+Comms!J45+Fundraising!J45+'Proj Dev'!J45+Admin_Total!J45</f>
        <v>4100</v>
      </c>
      <c r="K45" s="25">
        <f>'Support Housing'!K45+'FC TOTAL'!K45+'SS Total'!K45+Comms!K45+Fundraising!K45+'Proj Dev'!K45+Admin_Total!K45</f>
        <v>4100</v>
      </c>
      <c r="L45" s="25">
        <f>'Support Housing'!L45+'FC TOTAL'!L45+'SS Total'!L45+Comms!L45+Fundraising!L45+'Proj Dev'!L45+Admin_Total!L45</f>
        <v>4100</v>
      </c>
      <c r="M45" s="25">
        <f>'Support Housing'!M45+'FC TOTAL'!M45+'SS Total'!M45+Comms!M45+Fundraising!M45+'Proj Dev'!M45+Admin_Total!M45</f>
        <v>4100</v>
      </c>
      <c r="N45" s="25">
        <f>'Support Housing'!N45+'FC TOTAL'!N45+'SS Total'!N45+Comms!N45+Fundraising!N45+'Proj Dev'!N45+Admin_Total!N45</f>
        <v>4100</v>
      </c>
      <c r="O45" s="25">
        <f>'Support Housing'!O45+'FC TOTAL'!O45+'SS Total'!O45+Comms!O45+Fundraising!O45+'Proj Dev'!O45+Admin_Total!O45</f>
        <v>4100</v>
      </c>
      <c r="P45" s="25">
        <f t="shared" ref="P45:P52" si="8">SUM(D45:O45)</f>
        <v>49200</v>
      </c>
    </row>
    <row r="46" spans="1:16" x14ac:dyDescent="0.3">
      <c r="A46" s="26"/>
      <c r="B46" s="36" t="s">
        <v>34</v>
      </c>
      <c r="C46" s="25"/>
      <c r="D46" s="25">
        <f>'Support Housing'!D46+'FC TOTAL'!D46+'SS Total'!D46+Comms!D46+Fundraising!D46+'Proj Dev'!D46+Admin_Total!D46</f>
        <v>1325</v>
      </c>
      <c r="E46" s="25">
        <f>'Support Housing'!E46+'FC TOTAL'!E46+'SS Total'!E46+Comms!E46+Fundraising!E46+'Proj Dev'!E46+Admin_Total!E46</f>
        <v>1325</v>
      </c>
      <c r="F46" s="25">
        <f>'Support Housing'!F46+'FC TOTAL'!F46+'SS Total'!F46+Comms!F46+Fundraising!F46+'Proj Dev'!F46+Admin_Total!F46</f>
        <v>1325</v>
      </c>
      <c r="G46" s="25">
        <f>'Support Housing'!G46+'FC TOTAL'!G46+'SS Total'!G46+Comms!G46+Fundraising!G46+'Proj Dev'!G46+Admin_Total!G46</f>
        <v>1325</v>
      </c>
      <c r="H46" s="25">
        <f>'Support Housing'!H46+'FC TOTAL'!H46+'SS Total'!H46+Comms!H46+Fundraising!H46+'Proj Dev'!H46+Admin_Total!H46</f>
        <v>1325</v>
      </c>
      <c r="I46" s="25">
        <f>'Support Housing'!I46+'FC TOTAL'!I46+'SS Total'!I46+Comms!I46+Fundraising!I46+'Proj Dev'!I46+Admin_Total!I46</f>
        <v>1325</v>
      </c>
      <c r="J46" s="25">
        <f>'Support Housing'!J46+'FC TOTAL'!J46+'SS Total'!J46+Comms!J46+Fundraising!J46+'Proj Dev'!J46+Admin_Total!J46</f>
        <v>1325</v>
      </c>
      <c r="K46" s="25">
        <f>'Support Housing'!K46+'FC TOTAL'!K46+'SS Total'!K46+Comms!K46+Fundraising!K46+'Proj Dev'!K46+Admin_Total!K46</f>
        <v>1325</v>
      </c>
      <c r="L46" s="25">
        <f>'Support Housing'!L46+'FC TOTAL'!L46+'SS Total'!L46+Comms!L46+Fundraising!L46+'Proj Dev'!L46+Admin_Total!L46</f>
        <v>1325</v>
      </c>
      <c r="M46" s="25">
        <f>'Support Housing'!M46+'FC TOTAL'!M46+'SS Total'!M46+Comms!M46+Fundraising!M46+'Proj Dev'!M46+Admin_Total!M46</f>
        <v>1325</v>
      </c>
      <c r="N46" s="25">
        <f>'Support Housing'!N46+'FC TOTAL'!N46+'SS Total'!N46+Comms!N46+Fundraising!N46+'Proj Dev'!N46+Admin_Total!N46</f>
        <v>1325</v>
      </c>
      <c r="O46" s="25">
        <f>'Support Housing'!O46+'FC TOTAL'!O46+'SS Total'!O46+Comms!O46+Fundraising!O46+'Proj Dev'!O46+Admin_Total!O46</f>
        <v>1325</v>
      </c>
      <c r="P46" s="25">
        <f t="shared" si="8"/>
        <v>15900</v>
      </c>
    </row>
    <row r="47" spans="1:16" x14ac:dyDescent="0.3">
      <c r="A47" s="26"/>
      <c r="B47" s="36" t="s">
        <v>35</v>
      </c>
      <c r="C47" s="25"/>
      <c r="D47" s="25">
        <f>'Support Housing'!D47+'FC TOTAL'!D47+'SS Total'!D47+Comms!D47+Fundraising!D47+'Proj Dev'!D47+Admin_Total!D47</f>
        <v>978</v>
      </c>
      <c r="E47" s="25">
        <f>'Support Housing'!E47+'FC TOTAL'!E47+'SS Total'!E47+Comms!E47+Fundraising!E47+'Proj Dev'!E47+Admin_Total!E47</f>
        <v>978</v>
      </c>
      <c r="F47" s="25">
        <f>'Support Housing'!F47+'FC TOTAL'!F47+'SS Total'!F47+Comms!F47+Fundraising!F47+'Proj Dev'!F47+Admin_Total!F47</f>
        <v>978</v>
      </c>
      <c r="G47" s="25">
        <f>'Support Housing'!G47+'FC TOTAL'!G47+'SS Total'!G47+Comms!G47+Fundraising!G47+'Proj Dev'!G47+Admin_Total!G47</f>
        <v>978</v>
      </c>
      <c r="H47" s="25">
        <f>'Support Housing'!H47+'FC TOTAL'!H47+'SS Total'!H47+Comms!H47+Fundraising!H47+'Proj Dev'!H47+Admin_Total!H47</f>
        <v>978</v>
      </c>
      <c r="I47" s="25">
        <f>'Support Housing'!I47+'FC TOTAL'!I47+'SS Total'!I47+Comms!I47+Fundraising!I47+'Proj Dev'!I47+Admin_Total!I47</f>
        <v>978</v>
      </c>
      <c r="J47" s="25">
        <f>'Support Housing'!J47+'FC TOTAL'!J47+'SS Total'!J47+Comms!J47+Fundraising!J47+'Proj Dev'!J47+Admin_Total!J47</f>
        <v>978</v>
      </c>
      <c r="K47" s="25">
        <f>'Support Housing'!K47+'FC TOTAL'!K47+'SS Total'!K47+Comms!K47+Fundraising!K47+'Proj Dev'!K47+Admin_Total!K47</f>
        <v>978</v>
      </c>
      <c r="L47" s="25">
        <f>'Support Housing'!L47+'FC TOTAL'!L47+'SS Total'!L47+Comms!L47+Fundraising!L47+'Proj Dev'!L47+Admin_Total!L47</f>
        <v>978</v>
      </c>
      <c r="M47" s="25">
        <f>'Support Housing'!M47+'FC TOTAL'!M47+'SS Total'!M47+Comms!M47+Fundraising!M47+'Proj Dev'!M47+Admin_Total!M47</f>
        <v>978</v>
      </c>
      <c r="N47" s="25">
        <f>'Support Housing'!N47+'FC TOTAL'!N47+'SS Total'!N47+Comms!N47+Fundraising!N47+'Proj Dev'!N47+Admin_Total!N47</f>
        <v>978</v>
      </c>
      <c r="O47" s="25">
        <f>'Support Housing'!O47+'FC TOTAL'!O47+'SS Total'!O47+Comms!O47+Fundraising!O47+'Proj Dev'!O47+Admin_Total!O47</f>
        <v>978</v>
      </c>
      <c r="P47" s="25">
        <f t="shared" si="8"/>
        <v>11736</v>
      </c>
    </row>
    <row r="48" spans="1:16" x14ac:dyDescent="0.3">
      <c r="A48" s="26"/>
      <c r="B48" s="36" t="s">
        <v>36</v>
      </c>
      <c r="C48" s="25"/>
      <c r="D48" s="25">
        <f>'Support Housing'!D48+'FC TOTAL'!D48+'SS Total'!D48+Comms!D48+Fundraising!D48+'Proj Dev'!D48+Admin_Total!D48</f>
        <v>425</v>
      </c>
      <c r="E48" s="25">
        <f>'Support Housing'!E48+'FC TOTAL'!E48+'SS Total'!E48+Comms!E48+Fundraising!E48+'Proj Dev'!E48+Admin_Total!E48</f>
        <v>425</v>
      </c>
      <c r="F48" s="25">
        <f>'Support Housing'!F48+'FC TOTAL'!F48+'SS Total'!F48+Comms!F48+Fundraising!F48+'Proj Dev'!F48+Admin_Total!F48</f>
        <v>425</v>
      </c>
      <c r="G48" s="25">
        <f>'Support Housing'!G48+'FC TOTAL'!G48+'SS Total'!G48+Comms!G48+Fundraising!G48+'Proj Dev'!G48+Admin_Total!G48</f>
        <v>425</v>
      </c>
      <c r="H48" s="25">
        <f>'Support Housing'!H48+'FC TOTAL'!H48+'SS Total'!H48+Comms!H48+Fundraising!H48+'Proj Dev'!H48+Admin_Total!H48</f>
        <v>425</v>
      </c>
      <c r="I48" s="25">
        <f>'Support Housing'!I48+'FC TOTAL'!I48+'SS Total'!I48+Comms!I48+Fundraising!I48+'Proj Dev'!I48+Admin_Total!I48</f>
        <v>425</v>
      </c>
      <c r="J48" s="25">
        <f>'Support Housing'!J48+'FC TOTAL'!J48+'SS Total'!J48+Comms!J48+Fundraising!J48+'Proj Dev'!J48+Admin_Total!J48</f>
        <v>425</v>
      </c>
      <c r="K48" s="25">
        <f>'Support Housing'!K48+'FC TOTAL'!K48+'SS Total'!K48+Comms!K48+Fundraising!K48+'Proj Dev'!K48+Admin_Total!K48</f>
        <v>425</v>
      </c>
      <c r="L48" s="25">
        <f>'Support Housing'!L48+'FC TOTAL'!L48+'SS Total'!L48+Comms!L48+Fundraising!L48+'Proj Dev'!L48+Admin_Total!L48</f>
        <v>425</v>
      </c>
      <c r="M48" s="25">
        <f>'Support Housing'!M48+'FC TOTAL'!M48+'SS Total'!M48+Comms!M48+Fundraising!M48+'Proj Dev'!M48+Admin_Total!M48</f>
        <v>425</v>
      </c>
      <c r="N48" s="25">
        <f>'Support Housing'!N48+'FC TOTAL'!N48+'SS Total'!N48+Comms!N48+Fundraising!N48+'Proj Dev'!N48+Admin_Total!N48</f>
        <v>425</v>
      </c>
      <c r="O48" s="25">
        <f>'Support Housing'!O48+'FC TOTAL'!O48+'SS Total'!O48+Comms!O48+Fundraising!O48+'Proj Dev'!O48+Admin_Total!O48</f>
        <v>425</v>
      </c>
      <c r="P48" s="25">
        <f t="shared" si="8"/>
        <v>5100</v>
      </c>
    </row>
    <row r="49" spans="1:16" x14ac:dyDescent="0.3">
      <c r="A49" s="26"/>
      <c r="B49" s="36" t="s">
        <v>37</v>
      </c>
      <c r="C49" s="25"/>
      <c r="D49" s="25">
        <f>'Support Housing'!D49+'FC TOTAL'!D49+'SS Total'!D49+Comms!D49+Fundraising!D49+'Proj Dev'!D49+Admin_Total!D49</f>
        <v>325</v>
      </c>
      <c r="E49" s="25">
        <f>'Support Housing'!E49+'FC TOTAL'!E49+'SS Total'!E49+Comms!E49+Fundraising!E49+'Proj Dev'!E49+Admin_Total!E49</f>
        <v>325</v>
      </c>
      <c r="F49" s="25">
        <f>'Support Housing'!F49+'FC TOTAL'!F49+'SS Total'!F49+Comms!F49+Fundraising!F49+'Proj Dev'!F49+Admin_Total!F49</f>
        <v>325</v>
      </c>
      <c r="G49" s="25">
        <f>'Support Housing'!G49+'FC TOTAL'!G49+'SS Total'!G49+Comms!G49+Fundraising!G49+'Proj Dev'!G49+Admin_Total!G49</f>
        <v>325</v>
      </c>
      <c r="H49" s="25">
        <f>'Support Housing'!H49+'FC TOTAL'!H49+'SS Total'!H49+Comms!H49+Fundraising!H49+'Proj Dev'!H49+Admin_Total!H49</f>
        <v>325</v>
      </c>
      <c r="I49" s="25">
        <f>'Support Housing'!I49+'FC TOTAL'!I49+'SS Total'!I49+Comms!I49+Fundraising!I49+'Proj Dev'!I49+Admin_Total!I49</f>
        <v>325</v>
      </c>
      <c r="J49" s="25">
        <f>'Support Housing'!J49+'FC TOTAL'!J49+'SS Total'!J49+Comms!J49+Fundraising!J49+'Proj Dev'!J49+Admin_Total!J49</f>
        <v>325</v>
      </c>
      <c r="K49" s="25">
        <f>'Support Housing'!K49+'FC TOTAL'!K49+'SS Total'!K49+Comms!K49+Fundraising!K49+'Proj Dev'!K49+Admin_Total!K49</f>
        <v>325</v>
      </c>
      <c r="L49" s="25">
        <f>'Support Housing'!L49+'FC TOTAL'!L49+'SS Total'!L49+Comms!L49+Fundraising!L49+'Proj Dev'!L49+Admin_Total!L49</f>
        <v>325</v>
      </c>
      <c r="M49" s="25">
        <f>'Support Housing'!M49+'FC TOTAL'!M49+'SS Total'!M49+Comms!M49+Fundraising!M49+'Proj Dev'!M49+Admin_Total!M49</f>
        <v>325</v>
      </c>
      <c r="N49" s="25">
        <f>'Support Housing'!N49+'FC TOTAL'!N49+'SS Total'!N49+Comms!N49+Fundraising!N49+'Proj Dev'!N49+Admin_Total!N49</f>
        <v>325</v>
      </c>
      <c r="O49" s="25">
        <f>'Support Housing'!O49+'FC TOTAL'!O49+'SS Total'!O49+Comms!O49+Fundraising!O49+'Proj Dev'!O49+Admin_Total!O49</f>
        <v>325</v>
      </c>
      <c r="P49" s="25">
        <f t="shared" si="8"/>
        <v>3900</v>
      </c>
    </row>
    <row r="50" spans="1:16" s="42" customFormat="1" x14ac:dyDescent="0.3">
      <c r="A50" s="26"/>
      <c r="B50" s="92" t="s">
        <v>194</v>
      </c>
      <c r="C50" s="43"/>
      <c r="D50" s="43">
        <f>'Support Housing'!D50+'FC TOTAL'!D50+'SS Total'!D50+Comms!D50+Fundraising!D50+'Proj Dev'!D50+Admin_Total!D50</f>
        <v>1445</v>
      </c>
      <c r="E50" s="43">
        <f>'Support Housing'!E50+'FC TOTAL'!E50+'SS Total'!E50+Comms!E50+Fundraising!E50+'Proj Dev'!E50+Admin_Total!E50</f>
        <v>1445</v>
      </c>
      <c r="F50" s="43">
        <f>'Support Housing'!F50+'FC TOTAL'!F50+'SS Total'!F50+Comms!F50+Fundraising!F50+'Proj Dev'!F50+Admin_Total!F50</f>
        <v>1445</v>
      </c>
      <c r="G50" s="43">
        <f>'Support Housing'!G50+'FC TOTAL'!G50+'SS Total'!G50+Comms!G50+Fundraising!G50+'Proj Dev'!G50+Admin_Total!G50</f>
        <v>1445</v>
      </c>
      <c r="H50" s="43">
        <f>'Support Housing'!H50+'FC TOTAL'!H50+'SS Total'!H50+Comms!H50+Fundraising!H50+'Proj Dev'!H50+Admin_Total!H50</f>
        <v>1445</v>
      </c>
      <c r="I50" s="43">
        <f>'Support Housing'!I50+'FC TOTAL'!I50+'SS Total'!I50+Comms!I50+Fundraising!I50+'Proj Dev'!I50+Admin_Total!I50</f>
        <v>1445</v>
      </c>
      <c r="J50" s="43">
        <f>'Support Housing'!J50+'FC TOTAL'!J50+'SS Total'!J50+Comms!J50+Fundraising!J50+'Proj Dev'!J50+Admin_Total!J50</f>
        <v>1445</v>
      </c>
      <c r="K50" s="43">
        <f>'Support Housing'!K50+'FC TOTAL'!K50+'SS Total'!K50+Comms!K50+Fundraising!K50+'Proj Dev'!K50+Admin_Total!K50</f>
        <v>1445</v>
      </c>
      <c r="L50" s="43">
        <f>'Support Housing'!L50+'FC TOTAL'!L50+'SS Total'!L50+Comms!L50+Fundraising!L50+'Proj Dev'!L50+Admin_Total!L50</f>
        <v>1445</v>
      </c>
      <c r="M50" s="43">
        <f>'Support Housing'!M50+'FC TOTAL'!M50+'SS Total'!M50+Comms!M50+Fundraising!M50+'Proj Dev'!M50+Admin_Total!M50</f>
        <v>1445</v>
      </c>
      <c r="N50" s="43">
        <f>'Support Housing'!N50+'FC TOTAL'!N50+'SS Total'!N50+Comms!N50+Fundraising!N50+'Proj Dev'!N50+Admin_Total!N50</f>
        <v>1445</v>
      </c>
      <c r="O50" s="43">
        <f>'Support Housing'!O50+'FC TOTAL'!O50+'SS Total'!O50+Comms!O50+Fundraising!O50+'Proj Dev'!O50+Admin_Total!O50</f>
        <v>1445</v>
      </c>
      <c r="P50" s="43">
        <f>SUM(D50:O50)</f>
        <v>17340</v>
      </c>
    </row>
    <row r="51" spans="1:16" x14ac:dyDescent="0.3">
      <c r="A51" s="26"/>
      <c r="B51" s="36" t="s">
        <v>38</v>
      </c>
      <c r="C51" s="25"/>
      <c r="D51" s="25">
        <f>'Support Housing'!D51+'FC TOTAL'!D51+'SS Total'!D51+Comms!D51+Fundraising!D51+'Proj Dev'!D50+Admin_Total!D51</f>
        <v>1134</v>
      </c>
      <c r="E51" s="25">
        <f>'Support Housing'!E51+'FC TOTAL'!E51+'SS Total'!E51+Comms!E51+Fundraising!E51+'Proj Dev'!E50+Admin_Total!E51</f>
        <v>1134</v>
      </c>
      <c r="F51" s="25">
        <f>'Support Housing'!F51+'FC TOTAL'!F51+'SS Total'!F51+Comms!F51+Fundraising!F51+'Proj Dev'!F50+Admin_Total!F51</f>
        <v>1134</v>
      </c>
      <c r="G51" s="25">
        <f>'Support Housing'!G51+'FC TOTAL'!G51+'SS Total'!G51+Comms!G51+Fundraising!G51+'Proj Dev'!G50+Admin_Total!G51</f>
        <v>1134</v>
      </c>
      <c r="H51" s="25">
        <f>'Support Housing'!H51+'FC TOTAL'!H51+'SS Total'!H51+Comms!H51+Fundraising!H51+'Proj Dev'!H50+Admin_Total!H51</f>
        <v>1134</v>
      </c>
      <c r="I51" s="25">
        <f>'Support Housing'!I51+'FC TOTAL'!I51+'SS Total'!I51+Comms!I51+Fundraising!I51+'Proj Dev'!I50+Admin_Total!I51</f>
        <v>1134</v>
      </c>
      <c r="J51" s="25">
        <f>'Support Housing'!J51+'FC TOTAL'!J51+'SS Total'!J51+Comms!J51+Fundraising!J51+'Proj Dev'!J50+Admin_Total!J51</f>
        <v>1134</v>
      </c>
      <c r="K51" s="25">
        <f>'Support Housing'!K51+'FC TOTAL'!K51+'SS Total'!K51+Comms!K51+Fundraising!K51+'Proj Dev'!K50+Admin_Total!K51</f>
        <v>1134</v>
      </c>
      <c r="L51" s="25">
        <f>'Support Housing'!L51+'FC TOTAL'!L51+'SS Total'!L51+Comms!L51+Fundraising!L51+'Proj Dev'!L50+Admin_Total!L51</f>
        <v>1134</v>
      </c>
      <c r="M51" s="25">
        <f>'Support Housing'!M51+'FC TOTAL'!M51+'SS Total'!M51+Comms!M51+Fundraising!M51+'Proj Dev'!M50+Admin_Total!M51</f>
        <v>1134</v>
      </c>
      <c r="N51" s="25">
        <f>'Support Housing'!N51+'FC TOTAL'!N51+'SS Total'!N51+Comms!N51+Fundraising!N51+'Proj Dev'!N50+Admin_Total!N51</f>
        <v>1134</v>
      </c>
      <c r="O51" s="25">
        <f>'Support Housing'!O51+'FC TOTAL'!O51+'SS Total'!O51+Comms!O51+Fundraising!O51+'Proj Dev'!O50+Admin_Total!O51</f>
        <v>1134</v>
      </c>
      <c r="P51" s="25">
        <f t="shared" si="8"/>
        <v>13608</v>
      </c>
    </row>
    <row r="52" spans="1:16" x14ac:dyDescent="0.3">
      <c r="A52" s="26"/>
      <c r="B52" s="36" t="s">
        <v>39</v>
      </c>
      <c r="C52" s="25"/>
      <c r="D52" s="25">
        <f>'Support Housing'!D52+'FC TOTAL'!D52+'SS Total'!D53+Comms!D52+Fundraising!D52+'Proj Dev'!D51+Admin_Total!D52</f>
        <v>1350</v>
      </c>
      <c r="E52" s="25">
        <f>'Support Housing'!E52+'FC TOTAL'!E52+'SS Total'!E53+Comms!E52+Fundraising!E52+'Proj Dev'!E51+Admin_Total!E52</f>
        <v>1350</v>
      </c>
      <c r="F52" s="25">
        <f>'Support Housing'!F52+'FC TOTAL'!F52+'SS Total'!F53+Comms!F52+Fundraising!F52+'Proj Dev'!F51+Admin_Total!F52</f>
        <v>1350</v>
      </c>
      <c r="G52" s="25">
        <f>'Support Housing'!G52+'FC TOTAL'!G52+'SS Total'!G53+Comms!G52+Fundraising!G52+'Proj Dev'!G51+Admin_Total!G52</f>
        <v>1350</v>
      </c>
      <c r="H52" s="25">
        <f>'Support Housing'!H52+'FC TOTAL'!H52+'SS Total'!H53+Comms!H52+Fundraising!H52+'Proj Dev'!H51+Admin_Total!H52</f>
        <v>1350</v>
      </c>
      <c r="I52" s="25">
        <f>'Support Housing'!I52+'FC TOTAL'!I52+'SS Total'!I53+Comms!I52+Fundraising!I52+'Proj Dev'!I51+Admin_Total!I52</f>
        <v>1350</v>
      </c>
      <c r="J52" s="25">
        <f>'Support Housing'!J52+'FC TOTAL'!J52+'SS Total'!J53+Comms!J52+Fundraising!J52+'Proj Dev'!J51+Admin_Total!J52</f>
        <v>1350</v>
      </c>
      <c r="K52" s="25">
        <f>'Support Housing'!K52+'FC TOTAL'!K52+'SS Total'!K53+Comms!K52+Fundraising!K52+'Proj Dev'!K51+Admin_Total!K52</f>
        <v>1350</v>
      </c>
      <c r="L52" s="25">
        <f>'Support Housing'!L52+'FC TOTAL'!L52+'SS Total'!L53+Comms!L52+Fundraising!L52+'Proj Dev'!L51+Admin_Total!L52</f>
        <v>1350</v>
      </c>
      <c r="M52" s="25">
        <f>'Support Housing'!M52+'FC TOTAL'!M52+'SS Total'!M53+Comms!M52+Fundraising!M52+'Proj Dev'!M51+Admin_Total!M52</f>
        <v>1350</v>
      </c>
      <c r="N52" s="25">
        <f>'Support Housing'!N52+'FC TOTAL'!N52+'SS Total'!N53+Comms!N52+Fundraising!N52+'Proj Dev'!N51+Admin_Total!N52</f>
        <v>1350</v>
      </c>
      <c r="O52" s="25">
        <f>'Support Housing'!O52+'FC TOTAL'!O52+'SS Total'!O53+Comms!O52+Fundraising!O52+'Proj Dev'!O51+Admin_Total!O52</f>
        <v>1350</v>
      </c>
      <c r="P52" s="25">
        <f t="shared" si="8"/>
        <v>16200</v>
      </c>
    </row>
    <row r="53" spans="1:16" x14ac:dyDescent="0.3">
      <c r="A53" s="194" t="s">
        <v>40</v>
      </c>
      <c r="B53" s="194"/>
      <c r="C53" s="25"/>
      <c r="D53" s="28">
        <f>SUM(D45:D52)</f>
        <v>11082</v>
      </c>
      <c r="E53" s="28">
        <f t="shared" ref="E53:P53" si="9">SUM(E45:E52)</f>
        <v>11082</v>
      </c>
      <c r="F53" s="28">
        <f t="shared" si="9"/>
        <v>11082</v>
      </c>
      <c r="G53" s="28">
        <f t="shared" si="9"/>
        <v>11082</v>
      </c>
      <c r="H53" s="28">
        <f t="shared" si="9"/>
        <v>11082</v>
      </c>
      <c r="I53" s="28">
        <f t="shared" si="9"/>
        <v>11082</v>
      </c>
      <c r="J53" s="28">
        <f t="shared" si="9"/>
        <v>11082</v>
      </c>
      <c r="K53" s="28">
        <f t="shared" si="9"/>
        <v>11082</v>
      </c>
      <c r="L53" s="28">
        <f t="shared" si="9"/>
        <v>11082</v>
      </c>
      <c r="M53" s="28">
        <f t="shared" si="9"/>
        <v>11082</v>
      </c>
      <c r="N53" s="28">
        <f t="shared" si="9"/>
        <v>11082</v>
      </c>
      <c r="O53" s="28">
        <f t="shared" si="9"/>
        <v>11082</v>
      </c>
      <c r="P53" s="28">
        <f t="shared" si="9"/>
        <v>132984</v>
      </c>
    </row>
    <row r="54" spans="1:16" x14ac:dyDescent="0.3">
      <c r="A54" s="194" t="s">
        <v>41</v>
      </c>
      <c r="B54" s="19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x14ac:dyDescent="0.3">
      <c r="A55" s="26"/>
      <c r="B55" s="36" t="s">
        <v>42</v>
      </c>
      <c r="C55" s="25"/>
      <c r="D55" s="43">
        <f>'Support Housing'!D55+'FC TOTAL'!D55+'SS Total'!D55+Comms!D55+Fundraising!D55+'Proj Dev'!D54+Admin_Total!D55</f>
        <v>4541.666666666667</v>
      </c>
      <c r="E55" s="43">
        <f>'Support Housing'!E55+'FC TOTAL'!E55+'SS Total'!E55+Comms!E55+Fundraising!E55+'Proj Dev'!E54+Admin_Total!E55</f>
        <v>4541.666666666667</v>
      </c>
      <c r="F55" s="43">
        <f>'Support Housing'!F55+'FC TOTAL'!F55+'SS Total'!F55+Comms!F55+Fundraising!F55+'Proj Dev'!F54+Admin_Total!F55</f>
        <v>4541.666666666667</v>
      </c>
      <c r="G55" s="43">
        <f>'Support Housing'!G55+'FC TOTAL'!G55+'SS Total'!G55+Comms!G55+Fundraising!G55+'Proj Dev'!G54+Admin_Total!G55</f>
        <v>4541.666666666667</v>
      </c>
      <c r="H55" s="43">
        <f>'Support Housing'!H55+'FC TOTAL'!H55+'SS Total'!H55+Comms!H55+Fundraising!H55+'Proj Dev'!H54+Admin_Total!H55</f>
        <v>4541.666666666667</v>
      </c>
      <c r="I55" s="43">
        <f>'Support Housing'!I55+'FC TOTAL'!I55+'SS Total'!I55+Comms!I55+Fundraising!I55+'Proj Dev'!I54+Admin_Total!I55</f>
        <v>4541.666666666667</v>
      </c>
      <c r="J55" s="43">
        <f>'Support Housing'!J55+'FC TOTAL'!J55+'SS Total'!J55+Comms!J55+Fundraising!J55+'Proj Dev'!J54+Admin_Total!J55</f>
        <v>4541.666666666667</v>
      </c>
      <c r="K55" s="43">
        <f>'Support Housing'!K55+'FC TOTAL'!K55+'SS Total'!K55+Comms!K55+Fundraising!K55+'Proj Dev'!K54+Admin_Total!K55</f>
        <v>4541.666666666667</v>
      </c>
      <c r="L55" s="43">
        <f>'Support Housing'!L55+'FC TOTAL'!L55+'SS Total'!L55+Comms!L55+Fundraising!L55+'Proj Dev'!L54+Admin_Total!L55</f>
        <v>4541.666666666667</v>
      </c>
      <c r="M55" s="43">
        <f>'Support Housing'!M55+'FC TOTAL'!M55+'SS Total'!M55+Comms!M55+Fundraising!M55+'Proj Dev'!M54+Admin_Total!M55</f>
        <v>4541.666666666667</v>
      </c>
      <c r="N55" s="43">
        <f>'Support Housing'!N55+'FC TOTAL'!N55+'SS Total'!N55+Comms!N55+Fundraising!N55+'Proj Dev'!N54+Admin_Total!N55</f>
        <v>4541.666666666667</v>
      </c>
      <c r="O55" s="43">
        <f>'Support Housing'!O55+'FC TOTAL'!O55+'SS Total'!O55+Comms!O55+Fundraising!O55+'Proj Dev'!O54+Admin_Total!O55</f>
        <v>4541.666666666667</v>
      </c>
      <c r="P55" s="25">
        <f t="shared" ref="P55:P83" si="10">SUM(D55:O55)</f>
        <v>54499.999999999993</v>
      </c>
    </row>
    <row r="56" spans="1:16" x14ac:dyDescent="0.3">
      <c r="A56" s="26"/>
      <c r="B56" s="36" t="s">
        <v>43</v>
      </c>
      <c r="C56" s="25"/>
      <c r="D56" s="25">
        <f>'Support Housing'!D56+'FC TOTAL'!D56+'SS Total'!D57+Comms!D56+Fundraising!D56+'Proj Dev'!D55+Admin_Total!D56</f>
        <v>3069.1666666666665</v>
      </c>
      <c r="E56" s="25">
        <f>'Support Housing'!E56+'FC TOTAL'!E56+'SS Total'!E57+Comms!E56+Fundraising!E56+'Proj Dev'!E55+Admin_Total!E56</f>
        <v>369.16666666666663</v>
      </c>
      <c r="F56" s="25">
        <f>'Support Housing'!F56+'FC TOTAL'!F56+'SS Total'!F57+Comms!F56+Fundraising!F56+'Proj Dev'!F55+Admin_Total!F56</f>
        <v>369.16666666666663</v>
      </c>
      <c r="G56" s="25">
        <f>'Support Housing'!G56+'FC TOTAL'!G56+'SS Total'!G57+Comms!G56+Fundraising!G56+'Proj Dev'!G55+Admin_Total!G56</f>
        <v>369.16666666666663</v>
      </c>
      <c r="H56" s="25">
        <f>'Support Housing'!H56+'FC TOTAL'!H56+'SS Total'!H57+Comms!H56+Fundraising!H56+'Proj Dev'!H55+Admin_Total!H56</f>
        <v>369.16666666666663</v>
      </c>
      <c r="I56" s="25">
        <f>'Support Housing'!I56+'FC TOTAL'!I56+'SS Total'!I57+Comms!I56+Fundraising!I56+'Proj Dev'!I55+Admin_Total!I56</f>
        <v>1119.1666666666665</v>
      </c>
      <c r="J56" s="25">
        <f>'Support Housing'!J56+'FC TOTAL'!J56+'SS Total'!J57+Comms!J56+Fundraising!J56+'Proj Dev'!J55+Admin_Total!J56</f>
        <v>369.16666666666663</v>
      </c>
      <c r="K56" s="25">
        <f>'Support Housing'!K56+'FC TOTAL'!K56+'SS Total'!K57+Comms!K56+Fundraising!K56+'Proj Dev'!K55+Admin_Total!K56</f>
        <v>369.16666666666663</v>
      </c>
      <c r="L56" s="25">
        <f>'Support Housing'!L56+'FC TOTAL'!L56+'SS Total'!L57+Comms!L56+Fundraising!L56+'Proj Dev'!L55+Admin_Total!L56</f>
        <v>369.16666666666663</v>
      </c>
      <c r="M56" s="25">
        <f>'Support Housing'!M56+'FC TOTAL'!M56+'SS Total'!M57+Comms!M56+Fundraising!M56+'Proj Dev'!M55+Admin_Total!M56</f>
        <v>369.16666666666663</v>
      </c>
      <c r="N56" s="25">
        <f>'Support Housing'!N56+'FC TOTAL'!N56+'SS Total'!N57+Comms!N56+Fundraising!N56+'Proj Dev'!N55+Admin_Total!N56</f>
        <v>369.16666666666663</v>
      </c>
      <c r="O56" s="25">
        <f>'Support Housing'!O56+'FC TOTAL'!O56+'SS Total'!O57+Comms!O56+Fundraising!O56+'Proj Dev'!O55+Admin_Total!O56</f>
        <v>369.16666666666663</v>
      </c>
      <c r="P56" s="25">
        <f t="shared" si="10"/>
        <v>7880.0000000000018</v>
      </c>
    </row>
    <row r="57" spans="1:16" x14ac:dyDescent="0.3">
      <c r="A57" s="26"/>
      <c r="B57" s="36" t="s">
        <v>44</v>
      </c>
      <c r="C57" s="25"/>
      <c r="D57" s="25">
        <f>'Support Housing'!D57+'FC TOTAL'!D57+'SS Total'!D58+Comms!D57+Fundraising!D57+'Proj Dev'!D56+Admin_Total!D57</f>
        <v>1300</v>
      </c>
      <c r="E57" s="25">
        <f>'Support Housing'!E57+'FC TOTAL'!E57+'SS Total'!E58+Comms!E57+Fundraising!E57+'Proj Dev'!E56+Admin_Total!E57</f>
        <v>1300</v>
      </c>
      <c r="F57" s="25">
        <f>'Support Housing'!F57+'FC TOTAL'!F57+'SS Total'!F58+Comms!F57+Fundraising!F57+'Proj Dev'!F56+Admin_Total!F57</f>
        <v>1300</v>
      </c>
      <c r="G57" s="25">
        <f>'Support Housing'!G57+'FC TOTAL'!G57+'SS Total'!G58+Comms!G57+Fundraising!G57+'Proj Dev'!G56+Admin_Total!G57</f>
        <v>1300</v>
      </c>
      <c r="H57" s="25">
        <f>'Support Housing'!H57+'FC TOTAL'!H57+'SS Total'!H58+Comms!H57+Fundraising!H57+'Proj Dev'!H56+Admin_Total!H57</f>
        <v>1300</v>
      </c>
      <c r="I57" s="25">
        <f>'Support Housing'!I57+'FC TOTAL'!I57+'SS Total'!I58+Comms!I57+Fundraising!I57+'Proj Dev'!I56+Admin_Total!I57</f>
        <v>1300</v>
      </c>
      <c r="J57" s="25">
        <f>'Support Housing'!J57+'FC TOTAL'!J57+'SS Total'!J58+Comms!J57+Fundraising!J57+'Proj Dev'!J56+Admin_Total!J57</f>
        <v>1300</v>
      </c>
      <c r="K57" s="25">
        <f>'Support Housing'!K57+'FC TOTAL'!K57+'SS Total'!K58+Comms!K57+Fundraising!K57+'Proj Dev'!K56+Admin_Total!K57</f>
        <v>1300</v>
      </c>
      <c r="L57" s="25">
        <f>'Support Housing'!L57+'FC TOTAL'!L57+'SS Total'!L58+Comms!L57+Fundraising!L57+'Proj Dev'!L56+Admin_Total!L57</f>
        <v>1300</v>
      </c>
      <c r="M57" s="25">
        <f>'Support Housing'!M57+'FC TOTAL'!M57+'SS Total'!M58+Comms!M57+Fundraising!M57+'Proj Dev'!M56+Admin_Total!M57</f>
        <v>1300</v>
      </c>
      <c r="N57" s="25">
        <f>'Support Housing'!N57+'FC TOTAL'!N57+'SS Total'!N58+Comms!N57+Fundraising!N57+'Proj Dev'!N56+Admin_Total!N57</f>
        <v>1300</v>
      </c>
      <c r="O57" s="25">
        <f>'Support Housing'!O57+'FC TOTAL'!O57+'SS Total'!O58+Comms!O57+Fundraising!O57+'Proj Dev'!O56+Admin_Total!O57</f>
        <v>1300</v>
      </c>
      <c r="P57" s="25">
        <f t="shared" si="10"/>
        <v>15600</v>
      </c>
    </row>
    <row r="58" spans="1:16" x14ac:dyDescent="0.3">
      <c r="A58" s="26"/>
      <c r="B58" s="36" t="s">
        <v>45</v>
      </c>
      <c r="C58" s="25"/>
      <c r="D58" s="25">
        <f>'Support Housing'!D58+'FC TOTAL'!D58+'SS Total'!D59+Comms!D58+Fundraising!D58+'Proj Dev'!D57+Admin_Total!D58</f>
        <v>674.99666666666667</v>
      </c>
      <c r="E58" s="25">
        <f>'Support Housing'!E58+'FC TOTAL'!E58+'SS Total'!E59+Comms!E58+Fundraising!E58+'Proj Dev'!E57+Admin_Total!E58</f>
        <v>674.99666666666667</v>
      </c>
      <c r="F58" s="25">
        <f>'Support Housing'!F58+'FC TOTAL'!F58+'SS Total'!F59+Comms!F58+Fundraising!F58+'Proj Dev'!F57+Admin_Total!F58</f>
        <v>674.99666666666667</v>
      </c>
      <c r="G58" s="25">
        <f>'Support Housing'!G58+'FC TOTAL'!G58+'SS Total'!G59+Comms!G58+Fundraising!G58+'Proj Dev'!G57+Admin_Total!G58</f>
        <v>674.99666666666667</v>
      </c>
      <c r="H58" s="25">
        <f>'Support Housing'!H58+'FC TOTAL'!H58+'SS Total'!H59+Comms!H58+Fundraising!H58+'Proj Dev'!H57+Admin_Total!H58</f>
        <v>674.99666666666667</v>
      </c>
      <c r="I58" s="25">
        <f>'Support Housing'!I58+'FC TOTAL'!I58+'SS Total'!I59+Comms!I58+Fundraising!I58+'Proj Dev'!I57+Admin_Total!I58</f>
        <v>674.99666666666667</v>
      </c>
      <c r="J58" s="25">
        <f>'Support Housing'!J58+'FC TOTAL'!J58+'SS Total'!J59+Comms!J58+Fundraising!J58+'Proj Dev'!J57+Admin_Total!J58</f>
        <v>674.99666666666667</v>
      </c>
      <c r="K58" s="25">
        <f>'Support Housing'!K58+'FC TOTAL'!K58+'SS Total'!K59+Comms!K58+Fundraising!K58+'Proj Dev'!K57+Admin_Total!K58</f>
        <v>674.99666666666667</v>
      </c>
      <c r="L58" s="25">
        <f>'Support Housing'!L58+'FC TOTAL'!L58+'SS Total'!L59+Comms!L58+Fundraising!L58+'Proj Dev'!L57+Admin_Total!L58</f>
        <v>674.99666666666667</v>
      </c>
      <c r="M58" s="25">
        <f>'Support Housing'!M58+'FC TOTAL'!M58+'SS Total'!M59+Comms!M58+Fundraising!M58+'Proj Dev'!M57+Admin_Total!M58</f>
        <v>674.99666666666667</v>
      </c>
      <c r="N58" s="25">
        <f>'Support Housing'!N58+'FC TOTAL'!N58+'SS Total'!N59+Comms!N58+Fundraising!N58+'Proj Dev'!N57+Admin_Total!N58</f>
        <v>674.99666666666667</v>
      </c>
      <c r="O58" s="25">
        <f>'Support Housing'!O58+'FC TOTAL'!O58+'SS Total'!O59+Comms!O58+Fundraising!O58+'Proj Dev'!O57+Admin_Total!O58</f>
        <v>674.99666666666667</v>
      </c>
      <c r="P58" s="25">
        <f t="shared" si="10"/>
        <v>8099.9600000000019</v>
      </c>
    </row>
    <row r="59" spans="1:16" x14ac:dyDescent="0.3">
      <c r="A59" s="26"/>
      <c r="B59" s="36" t="s">
        <v>46</v>
      </c>
      <c r="C59" s="25"/>
      <c r="D59" s="25">
        <f>'Support Housing'!D59+'FC TOTAL'!D59+'SS Total'!D60+Comms!D59+Fundraising!D59+'Proj Dev'!D58+Admin_Total!D59</f>
        <v>391.66666666666669</v>
      </c>
      <c r="E59" s="25">
        <f>'Support Housing'!E59+'FC TOTAL'!E59+'SS Total'!E60+Comms!E59+Fundraising!E59+'Proj Dev'!E58+Admin_Total!E59</f>
        <v>391.66666666666669</v>
      </c>
      <c r="F59" s="25">
        <f>'Support Housing'!F59+'FC TOTAL'!F59+'SS Total'!F60+Comms!F59+Fundraising!F59+'Proj Dev'!F58+Admin_Total!F59</f>
        <v>391.66666666666669</v>
      </c>
      <c r="G59" s="25">
        <f>'Support Housing'!G59+'FC TOTAL'!G59+'SS Total'!G60+Comms!G59+Fundraising!G59+'Proj Dev'!G58+Admin_Total!G59</f>
        <v>391.66666666666669</v>
      </c>
      <c r="H59" s="25">
        <f>'Support Housing'!H59+'FC TOTAL'!H59+'SS Total'!H60+Comms!H59+Fundraising!H59+'Proj Dev'!H58+Admin_Total!H59</f>
        <v>391.66666666666669</v>
      </c>
      <c r="I59" s="25">
        <f>'Support Housing'!I59+'FC TOTAL'!I59+'SS Total'!I60+Comms!I59+Fundraising!I59+'Proj Dev'!I58+Admin_Total!I59</f>
        <v>391.66666666666669</v>
      </c>
      <c r="J59" s="25">
        <f>'Support Housing'!J59+'FC TOTAL'!J59+'SS Total'!J60+Comms!J59+Fundraising!J59+'Proj Dev'!J58+Admin_Total!J59</f>
        <v>391.66666666666669</v>
      </c>
      <c r="K59" s="25">
        <f>'Support Housing'!K59+'FC TOTAL'!K59+'SS Total'!K60+Comms!K59+Fundraising!K59+'Proj Dev'!K58+Admin_Total!K59</f>
        <v>391.66666666666669</v>
      </c>
      <c r="L59" s="25">
        <f>'Support Housing'!L59+'FC TOTAL'!L59+'SS Total'!L60+Comms!L59+Fundraising!L59+'Proj Dev'!L58+Admin_Total!L59</f>
        <v>391.66666666666669</v>
      </c>
      <c r="M59" s="25">
        <f>'Support Housing'!M59+'FC TOTAL'!M59+'SS Total'!M60+Comms!M59+Fundraising!M59+'Proj Dev'!M58+Admin_Total!M59</f>
        <v>391.66666666666669</v>
      </c>
      <c r="N59" s="25">
        <f>'Support Housing'!N59+'FC TOTAL'!N59+'SS Total'!N60+Comms!N59+Fundraising!N59+'Proj Dev'!N58+Admin_Total!N59</f>
        <v>391.66666666666669</v>
      </c>
      <c r="O59" s="25">
        <f>'Support Housing'!O59+'FC TOTAL'!O59+'SS Total'!O60+Comms!O59+Fundraising!O59+'Proj Dev'!O58+Admin_Total!O59</f>
        <v>391.66666666666669</v>
      </c>
      <c r="P59" s="25">
        <f t="shared" si="10"/>
        <v>4700</v>
      </c>
    </row>
    <row r="60" spans="1:16" x14ac:dyDescent="0.3">
      <c r="A60" s="26"/>
      <c r="B60" s="36" t="s">
        <v>47</v>
      </c>
      <c r="C60" s="25"/>
      <c r="D60" s="25">
        <f>'Support Housing'!D60+'FC TOTAL'!D60+'SS Total'!D61+Comms!D60+Fundraising!D60+'Proj Dev'!D59+Admin_Total!D60</f>
        <v>20.833333333333332</v>
      </c>
      <c r="E60" s="25">
        <f>'Support Housing'!E60+'FC TOTAL'!E60+'SS Total'!E61+Comms!E60+Fundraising!E60+'Proj Dev'!E59+Admin_Total!E60</f>
        <v>20.833333333333332</v>
      </c>
      <c r="F60" s="25">
        <f>'Support Housing'!F60+'FC TOTAL'!F60+'SS Total'!F61+Comms!F60+Fundraising!F60+'Proj Dev'!F59+Admin_Total!F60</f>
        <v>20.833333333333332</v>
      </c>
      <c r="G60" s="25">
        <f>'Support Housing'!G60+'FC TOTAL'!G60+'SS Total'!G61+Comms!G60+Fundraising!G60+'Proj Dev'!G59+Admin_Total!G60</f>
        <v>20.833333333333332</v>
      </c>
      <c r="H60" s="25">
        <f>'Support Housing'!H60+'FC TOTAL'!H60+'SS Total'!H61+Comms!H60+Fundraising!H60+'Proj Dev'!H59+Admin_Total!H60</f>
        <v>20.833333333333332</v>
      </c>
      <c r="I60" s="25">
        <f>'Support Housing'!I60+'FC TOTAL'!I60+'SS Total'!I61+Comms!I60+Fundraising!I60+'Proj Dev'!I59+Admin_Total!I60</f>
        <v>20.833333333333332</v>
      </c>
      <c r="J60" s="25">
        <f>'Support Housing'!J60+'FC TOTAL'!J60+'SS Total'!J61+Comms!J60+Fundraising!J60+'Proj Dev'!J59+Admin_Total!J60</f>
        <v>20.833333333333332</v>
      </c>
      <c r="K60" s="25">
        <f>'Support Housing'!K60+'FC TOTAL'!K60+'SS Total'!K61+Comms!K60+Fundraising!K60+'Proj Dev'!K59+Admin_Total!K60</f>
        <v>20.833333333333332</v>
      </c>
      <c r="L60" s="25">
        <f>'Support Housing'!L60+'FC TOTAL'!L60+'SS Total'!L61+Comms!L60+Fundraising!L60+'Proj Dev'!L59+Admin_Total!L60</f>
        <v>20.833333333333332</v>
      </c>
      <c r="M60" s="25">
        <f>'Support Housing'!M60+'FC TOTAL'!M60+'SS Total'!M61+Comms!M60+Fundraising!M60+'Proj Dev'!M59+Admin_Total!M60</f>
        <v>20.833333333333332</v>
      </c>
      <c r="N60" s="25">
        <f>'Support Housing'!N60+'FC TOTAL'!N60+'SS Total'!N61+Comms!N60+Fundraising!N60+'Proj Dev'!N59+Admin_Total!N60</f>
        <v>20.833333333333332</v>
      </c>
      <c r="O60" s="25">
        <f>'Support Housing'!O60+'FC TOTAL'!O60+'SS Total'!O61+Comms!O60+Fundraising!O60+'Proj Dev'!O59+Admin_Total!O60</f>
        <v>20.833333333333332</v>
      </c>
      <c r="P60" s="25">
        <f t="shared" si="10"/>
        <v>250.00000000000003</v>
      </c>
    </row>
    <row r="61" spans="1:16" x14ac:dyDescent="0.3">
      <c r="A61" s="26"/>
      <c r="B61" s="36" t="s">
        <v>48</v>
      </c>
      <c r="C61" s="25"/>
      <c r="D61" s="25">
        <f>'Support Housing'!D61+'FC TOTAL'!D61+'SS Total'!D62+Comms!D61+Fundraising!D61+'Proj Dev'!D60+Admin_Total!D61</f>
        <v>541.66666666666663</v>
      </c>
      <c r="E61" s="25">
        <f>'Support Housing'!E61+'FC TOTAL'!E61+'SS Total'!E62+Comms!E61+Fundraising!E61+'Proj Dev'!E60+Admin_Total!E61</f>
        <v>541.66666666666663</v>
      </c>
      <c r="F61" s="25">
        <f>'Support Housing'!F61+'FC TOTAL'!F61+'SS Total'!F62+Comms!F61+Fundraising!F61+'Proj Dev'!F60+Admin_Total!F61</f>
        <v>541.66666666666663</v>
      </c>
      <c r="G61" s="25">
        <f>'Support Housing'!G61+'FC TOTAL'!G61+'SS Total'!G62+Comms!G61+Fundraising!G61+'Proj Dev'!G60+Admin_Total!G61</f>
        <v>541.66666666666663</v>
      </c>
      <c r="H61" s="25">
        <f>'Support Housing'!H61+'FC TOTAL'!H61+'SS Total'!H62+Comms!H61+Fundraising!H61+'Proj Dev'!H60+Admin_Total!H61</f>
        <v>541.66666666666663</v>
      </c>
      <c r="I61" s="25">
        <f>'Support Housing'!I61+'FC TOTAL'!I61+'SS Total'!I62+Comms!I61+Fundraising!I61+'Proj Dev'!I60+Admin_Total!I61</f>
        <v>541.66666666666663</v>
      </c>
      <c r="J61" s="25">
        <f>'Support Housing'!J61+'FC TOTAL'!J61+'SS Total'!J62+Comms!J61+Fundraising!J61+'Proj Dev'!J60+Admin_Total!J61</f>
        <v>541.66666666666663</v>
      </c>
      <c r="K61" s="25">
        <f>'Support Housing'!K61+'FC TOTAL'!K61+'SS Total'!K62+Comms!K61+Fundraising!K61+'Proj Dev'!K60+Admin_Total!K61</f>
        <v>541.66666666666663</v>
      </c>
      <c r="L61" s="25">
        <f>'Support Housing'!L61+'FC TOTAL'!L61+'SS Total'!L62+Comms!L61+Fundraising!L61+'Proj Dev'!L60+Admin_Total!L61</f>
        <v>541.66666666666663</v>
      </c>
      <c r="M61" s="25">
        <f>'Support Housing'!M61+'FC TOTAL'!M61+'SS Total'!M62+Comms!M61+Fundraising!M61+'Proj Dev'!M60+Admin_Total!M61</f>
        <v>541.66666666666663</v>
      </c>
      <c r="N61" s="25">
        <f>'Support Housing'!N61+'FC TOTAL'!N61+'SS Total'!N62+Comms!N61+Fundraising!N61+'Proj Dev'!N60+Admin_Total!N61</f>
        <v>541.66666666666663</v>
      </c>
      <c r="O61" s="25">
        <f>'Support Housing'!O61+'FC TOTAL'!O61+'SS Total'!O62+Comms!O61+Fundraising!O61+'Proj Dev'!O60+Admin_Total!O61</f>
        <v>541.66666666666663</v>
      </c>
      <c r="P61" s="25">
        <f t="shared" si="10"/>
        <v>6500.0000000000009</v>
      </c>
    </row>
    <row r="62" spans="1:16" x14ac:dyDescent="0.3">
      <c r="A62" s="26"/>
      <c r="B62" s="36" t="s">
        <v>49</v>
      </c>
      <c r="C62" s="25"/>
      <c r="D62" s="25">
        <f>'Support Housing'!D62+'FC TOTAL'!D62+'SS Total'!D63+Comms!D62+Fundraising!D62+'Proj Dev'!D61+Admin_Total!D62</f>
        <v>0</v>
      </c>
      <c r="E62" s="25">
        <f>'Support Housing'!E62+'FC TOTAL'!E62+'SS Total'!E63+Comms!E62+Fundraising!E62+'Proj Dev'!E61+Admin_Total!E62</f>
        <v>0</v>
      </c>
      <c r="F62" s="25">
        <f>'Support Housing'!F62+'FC TOTAL'!F62+'SS Total'!F63+Comms!F62+Fundraising!F62+'Proj Dev'!F61+Admin_Total!F62</f>
        <v>0</v>
      </c>
      <c r="G62" s="25">
        <f>'Support Housing'!G62+'FC TOTAL'!G62+'SS Total'!G63+Comms!G62+Fundraising!G62+'Proj Dev'!G61+Admin_Total!G62</f>
        <v>0</v>
      </c>
      <c r="H62" s="25">
        <f>'Support Housing'!H62+'FC TOTAL'!H62+'SS Total'!H63+Comms!H62+Fundraising!H62+'Proj Dev'!H61+Admin_Total!H62</f>
        <v>0</v>
      </c>
      <c r="I62" s="25">
        <f>'Support Housing'!I62+'FC TOTAL'!I62+'SS Total'!I63+Comms!I62+Fundraising!I62+'Proj Dev'!I61+Admin_Total!I62</f>
        <v>0</v>
      </c>
      <c r="J62" s="25">
        <f>'Support Housing'!J62+'FC TOTAL'!J62+'SS Total'!J63+Comms!J62+Fundraising!J62+'Proj Dev'!J61+Admin_Total!J62</f>
        <v>0</v>
      </c>
      <c r="K62" s="25">
        <f>'Support Housing'!K62+'FC TOTAL'!K62+'SS Total'!K63+Comms!K62+Fundraising!K62+'Proj Dev'!K61+Admin_Total!K62</f>
        <v>0</v>
      </c>
      <c r="L62" s="25">
        <f>'Support Housing'!L62+'FC TOTAL'!L62+'SS Total'!L63+Comms!L62+Fundraising!L62+'Proj Dev'!L61+Admin_Total!L62</f>
        <v>0</v>
      </c>
      <c r="M62" s="25">
        <f>'Support Housing'!M62+'FC TOTAL'!M62+'SS Total'!M63+Comms!M62+Fundraising!M62+'Proj Dev'!M61+Admin_Total!M62</f>
        <v>0</v>
      </c>
      <c r="N62" s="25">
        <f>'Support Housing'!N62+'FC TOTAL'!N62+'SS Total'!N63+Comms!N62+Fundraising!N62+'Proj Dev'!N61+Admin_Total!N62</f>
        <v>0</v>
      </c>
      <c r="O62" s="25">
        <f>'Support Housing'!O62+'FC TOTAL'!O62+'SS Total'!O63+Comms!O62+Fundraising!O62+'Proj Dev'!O61+Admin_Total!O62</f>
        <v>0</v>
      </c>
      <c r="P62" s="25">
        <f t="shared" si="10"/>
        <v>0</v>
      </c>
    </row>
    <row r="63" spans="1:16" x14ac:dyDescent="0.3">
      <c r="A63" s="26"/>
      <c r="B63" s="36" t="s">
        <v>50</v>
      </c>
      <c r="C63" s="25"/>
      <c r="D63" s="25">
        <f>'Support Housing'!D63+'FC TOTAL'!D63+'SS Total'!D63+Comms!D63+Fundraising!D63+'Proj Dev'!D62+Admin_Total!D63</f>
        <v>0</v>
      </c>
      <c r="E63" s="25">
        <f>'Support Housing'!E63+'FC TOTAL'!E63+'SS Total'!E64+Comms!E63+Fundraising!E63+'Proj Dev'!E62+Admin_Total!E63</f>
        <v>0</v>
      </c>
      <c r="F63" s="25">
        <f>'Support Housing'!F63+'FC TOTAL'!F63+'SS Total'!F64+Comms!F63+Fundraising!F63+'Proj Dev'!F62+Admin_Total!F63</f>
        <v>0</v>
      </c>
      <c r="G63" s="25">
        <f>'Support Housing'!G63+'FC TOTAL'!G63+'SS Total'!G64+Comms!G63+Fundraising!G63+'Proj Dev'!G62+Admin_Total!G63</f>
        <v>0</v>
      </c>
      <c r="H63" s="25">
        <f>'Support Housing'!H63+'FC TOTAL'!H63+'SS Total'!H64+Comms!H63+Fundraising!H63+'Proj Dev'!H62+Admin_Total!H63</f>
        <v>0</v>
      </c>
      <c r="I63" s="25">
        <f>'Support Housing'!I63+'FC TOTAL'!I63+'SS Total'!I64+Comms!I63+Fundraising!I63+'Proj Dev'!I62+Admin_Total!I63</f>
        <v>0</v>
      </c>
      <c r="J63" s="25">
        <f>'Support Housing'!J63+'FC TOTAL'!J63+'SS Total'!J64+Comms!J63+Fundraising!J63+'Proj Dev'!J62+Admin_Total!J63</f>
        <v>0</v>
      </c>
      <c r="K63" s="25">
        <f>'Support Housing'!K63+'FC TOTAL'!K63+'SS Total'!K64+Comms!K63+Fundraising!K63+'Proj Dev'!K62+Admin_Total!K63</f>
        <v>0</v>
      </c>
      <c r="L63" s="25">
        <f>'Support Housing'!L63+'FC TOTAL'!L63+'SS Total'!L64+Comms!L63+Fundraising!L63+'Proj Dev'!L62+Admin_Total!L63</f>
        <v>0</v>
      </c>
      <c r="M63" s="25">
        <f>'Support Housing'!M63+'FC TOTAL'!M63+'SS Total'!M64+Comms!M63+Fundraising!M63+'Proj Dev'!M62+Admin_Total!M63</f>
        <v>0</v>
      </c>
      <c r="N63" s="25">
        <f>'Support Housing'!N63+'FC TOTAL'!N63+'SS Total'!N64+Comms!N63+Fundraising!N63+'Proj Dev'!N62+Admin_Total!N63</f>
        <v>0</v>
      </c>
      <c r="O63" s="25">
        <f>'Support Housing'!O63+'FC TOTAL'!O63+'SS Total'!O64+Comms!O63+Fundraising!O63+'Proj Dev'!O62+Admin_Total!O63</f>
        <v>0</v>
      </c>
      <c r="P63" s="25">
        <f t="shared" si="10"/>
        <v>0</v>
      </c>
    </row>
    <row r="64" spans="1:16" x14ac:dyDescent="0.3">
      <c r="A64" s="26"/>
      <c r="B64" s="36" t="s">
        <v>51</v>
      </c>
      <c r="C64" s="25"/>
      <c r="D64" s="25">
        <f>'Support Housing'!D64+'FC TOTAL'!D64+'SS Total'!D65+Comms!D64+Fundraising!D64+'Proj Dev'!D63+Admin_Total!D64</f>
        <v>0</v>
      </c>
      <c r="E64" s="25">
        <f>'Support Housing'!E64+'FC TOTAL'!E64+'SS Total'!E65+Comms!E64+Fundraising!E64+'Proj Dev'!E63+Admin_Total!E64</f>
        <v>0</v>
      </c>
      <c r="F64" s="25">
        <f>'Support Housing'!F64+'FC TOTAL'!F64+'SS Total'!F65+Comms!F64+Fundraising!F64+'Proj Dev'!F63+Admin_Total!F64</f>
        <v>0</v>
      </c>
      <c r="G64" s="25">
        <f>'Support Housing'!G64+'FC TOTAL'!G64+'SS Total'!G65+Comms!G64+Fundraising!G64+'Proj Dev'!G63+Admin_Total!G64</f>
        <v>0</v>
      </c>
      <c r="H64" s="25">
        <f>'Support Housing'!H64+'FC TOTAL'!H64+'SS Total'!H65+Comms!H64+Fundraising!H64+'Proj Dev'!H63+Admin_Total!H64</f>
        <v>0</v>
      </c>
      <c r="I64" s="25">
        <f>'Support Housing'!I64+'FC TOTAL'!I64+'SS Total'!I65+Comms!I64+Fundraising!I64+'Proj Dev'!I63+Admin_Total!I64</f>
        <v>0</v>
      </c>
      <c r="J64" s="25">
        <f>'Support Housing'!J64+'FC TOTAL'!J64+'SS Total'!J65+Comms!J64+Fundraising!J64+'Proj Dev'!J63+Admin_Total!J64</f>
        <v>0</v>
      </c>
      <c r="K64" s="25">
        <f>'Support Housing'!K64+'FC TOTAL'!K64+'SS Total'!K65+Comms!K64+Fundraising!K64+'Proj Dev'!K63+Admin_Total!K64</f>
        <v>0</v>
      </c>
      <c r="L64" s="25">
        <f>'Support Housing'!L64+'FC TOTAL'!L64+'SS Total'!L65+Comms!L64+Fundraising!L64+'Proj Dev'!L63+Admin_Total!L64</f>
        <v>0</v>
      </c>
      <c r="M64" s="25">
        <f>'Support Housing'!M64+'FC TOTAL'!M64+'SS Total'!M65+Comms!M64+Fundraising!M64+'Proj Dev'!M63+Admin_Total!M64</f>
        <v>0</v>
      </c>
      <c r="N64" s="25">
        <f>'Support Housing'!N64+'FC TOTAL'!N64+'SS Total'!N65+Comms!N64+Fundraising!N64+'Proj Dev'!N63+Admin_Total!N64</f>
        <v>0</v>
      </c>
      <c r="O64" s="25">
        <f>'Support Housing'!O64+'FC TOTAL'!O64+'SS Total'!O65+Comms!O64+Fundraising!O64+'Proj Dev'!O63+Admin_Total!O64</f>
        <v>0</v>
      </c>
      <c r="P64" s="25">
        <f t="shared" si="10"/>
        <v>0</v>
      </c>
    </row>
    <row r="65" spans="1:16" x14ac:dyDescent="0.3">
      <c r="A65" s="26"/>
      <c r="B65" s="36" t="s">
        <v>52</v>
      </c>
      <c r="C65" s="25"/>
      <c r="D65" s="25">
        <f>'Support Housing'!D65+'FC TOTAL'!D65+'SS Total'!D66+Comms!D65+Fundraising!D65+'Proj Dev'!D64+Admin_Total!D65</f>
        <v>0</v>
      </c>
      <c r="E65" s="25">
        <f>'Support Housing'!E65+'FC TOTAL'!E65+'SS Total'!E66+Comms!E65+Fundraising!E65+'Proj Dev'!E64+Admin_Total!E65</f>
        <v>0</v>
      </c>
      <c r="F65" s="25">
        <f>'Support Housing'!F65+'FC TOTAL'!F65+'SS Total'!F66+Comms!F65+Fundraising!F65+'Proj Dev'!F64+Admin_Total!F65</f>
        <v>0</v>
      </c>
      <c r="G65" s="25">
        <f>'Support Housing'!G65+'FC TOTAL'!G65+'SS Total'!G66+Comms!G65+Fundraising!G65+'Proj Dev'!G64+Admin_Total!G65</f>
        <v>0</v>
      </c>
      <c r="H65" s="25">
        <f>'Support Housing'!H65+'FC TOTAL'!H65+'SS Total'!H66+Comms!H65+Fundraising!H65+'Proj Dev'!H64+Admin_Total!H65</f>
        <v>0</v>
      </c>
      <c r="I65" s="25">
        <f>'Support Housing'!I65+'FC TOTAL'!I65+'SS Total'!I66+Comms!I65+Fundraising!I65+'Proj Dev'!I64+Admin_Total!I65</f>
        <v>0</v>
      </c>
      <c r="J65" s="25">
        <f>'Support Housing'!J65+'FC TOTAL'!J65+'SS Total'!J66+Comms!J65+Fundraising!J65+'Proj Dev'!J64+Admin_Total!J65</f>
        <v>0</v>
      </c>
      <c r="K65" s="25">
        <f>'Support Housing'!K65+'FC TOTAL'!K65+'SS Total'!K66+Comms!K65+Fundraising!K65+'Proj Dev'!K64+Admin_Total!K65</f>
        <v>0</v>
      </c>
      <c r="L65" s="25">
        <f>'Support Housing'!L65+'FC TOTAL'!L65+'SS Total'!L66+Comms!L65+Fundraising!L65+'Proj Dev'!L64+Admin_Total!L65</f>
        <v>0</v>
      </c>
      <c r="M65" s="25">
        <f>'Support Housing'!M65+'FC TOTAL'!M65+'SS Total'!M66+Comms!M65+Fundraising!M65+'Proj Dev'!M64+Admin_Total!M65</f>
        <v>0</v>
      </c>
      <c r="N65" s="25">
        <f>'Support Housing'!N65+'FC TOTAL'!N65+'SS Total'!N66+Comms!N65+Fundraising!N65+'Proj Dev'!N64+Admin_Total!N65</f>
        <v>0</v>
      </c>
      <c r="O65" s="25">
        <f>'Support Housing'!O65+'FC TOTAL'!O65+'SS Total'!O66+Comms!O65+Fundraising!O65+'Proj Dev'!O64+Admin_Total!O65</f>
        <v>0</v>
      </c>
      <c r="P65" s="25">
        <f t="shared" si="10"/>
        <v>0</v>
      </c>
    </row>
    <row r="66" spans="1:16" x14ac:dyDescent="0.3">
      <c r="A66" s="26"/>
      <c r="B66" s="36" t="s">
        <v>53</v>
      </c>
      <c r="C66" s="25"/>
      <c r="D66" s="43">
        <f>'Support Housing'!D66+'FC TOTAL'!D66+'SS Total'!D67+Comms!D66+Fundraising!D66+'Proj Dev'!D65+Admin_Total!D66</f>
        <v>718.33333333333337</v>
      </c>
      <c r="E66" s="25">
        <f>'Support Housing'!E66+'FC TOTAL'!E66+'SS Total'!E67+Comms!E66+Fundraising!E66+'Proj Dev'!E65+Admin_Total!E66</f>
        <v>718.33333333333337</v>
      </c>
      <c r="F66" s="25">
        <f>'Support Housing'!F66+'FC TOTAL'!F66+'SS Total'!F67+Comms!F66+Fundraising!F66+'Proj Dev'!F65+Admin_Total!F66</f>
        <v>718.33333333333337</v>
      </c>
      <c r="G66" s="25">
        <f>'Support Housing'!G66+'FC TOTAL'!G66+'SS Total'!G67+Comms!G66+Fundraising!G66+'Proj Dev'!G65+Admin_Total!G66</f>
        <v>718.33333333333337</v>
      </c>
      <c r="H66" s="25">
        <f>'Support Housing'!H66+'FC TOTAL'!H66+'SS Total'!H67+Comms!H66+Fundraising!H66+'Proj Dev'!H65+Admin_Total!H66</f>
        <v>718.33333333333337</v>
      </c>
      <c r="I66" s="25">
        <f>'Support Housing'!I66+'FC TOTAL'!I66+'SS Total'!I67+Comms!I66+Fundraising!I66+'Proj Dev'!I65+Admin_Total!I66</f>
        <v>718.33333333333337</v>
      </c>
      <c r="J66" s="25">
        <f>'Support Housing'!J66+'FC TOTAL'!J66+'SS Total'!J67+Comms!J66+Fundraising!J66+'Proj Dev'!J65+Admin_Total!J66</f>
        <v>718.33333333333337</v>
      </c>
      <c r="K66" s="25">
        <f>'Support Housing'!K66+'FC TOTAL'!K66+'SS Total'!K67+Comms!K66+Fundraising!K66+'Proj Dev'!K65+Admin_Total!K66</f>
        <v>718.33333333333337</v>
      </c>
      <c r="L66" s="25">
        <f>'Support Housing'!L66+'FC TOTAL'!L66+'SS Total'!L67+Comms!L66+Fundraising!L66+'Proj Dev'!L65+Admin_Total!L66</f>
        <v>718.33333333333337</v>
      </c>
      <c r="M66" s="25">
        <f>'Support Housing'!M66+'FC TOTAL'!M66+'SS Total'!M67+Comms!M66+Fundraising!M66+'Proj Dev'!M65+Admin_Total!M66</f>
        <v>718.33333333333337</v>
      </c>
      <c r="N66" s="25">
        <f>'Support Housing'!N66+'FC TOTAL'!N66+'SS Total'!N67+Comms!N66+Fundraising!N66+'Proj Dev'!N65+Admin_Total!N66</f>
        <v>718.33333333333337</v>
      </c>
      <c r="O66" s="25">
        <f>'Support Housing'!O66+'FC TOTAL'!O66+'SS Total'!O67+Comms!O66+Fundraising!O66+'Proj Dev'!O65+Admin_Total!O66</f>
        <v>718.33333333333337</v>
      </c>
      <c r="P66" s="25">
        <f t="shared" si="10"/>
        <v>8619.9999999999982</v>
      </c>
    </row>
    <row r="67" spans="1:16" x14ac:dyDescent="0.3">
      <c r="A67" s="26"/>
      <c r="B67" s="36" t="s">
        <v>54</v>
      </c>
      <c r="C67" s="25"/>
      <c r="D67" s="43">
        <f>'Support Housing'!D67+'FC TOTAL'!D67+'SS Total'!D68+Comms!D67+Fundraising!D67+'Proj Dev'!D66+Admin_Total!D67</f>
        <v>955.33333333333326</v>
      </c>
      <c r="E67" s="25">
        <f>'Support Housing'!E67+'FC TOTAL'!E67+'SS Total'!E68+Comms!E67+Fundraising!E67+'Proj Dev'!E66+Admin_Total!E67</f>
        <v>955.33333333333326</v>
      </c>
      <c r="F67" s="25">
        <f>'Support Housing'!F67+'FC TOTAL'!F67+'SS Total'!F68+Comms!F67+Fundraising!F67+'Proj Dev'!F66+Admin_Total!F67</f>
        <v>1254.3333333333333</v>
      </c>
      <c r="G67" s="25">
        <f>'Support Housing'!G67+'FC TOTAL'!G67+'SS Total'!G68+Comms!G67+Fundraising!G67+'Proj Dev'!G66+Admin_Total!G67</f>
        <v>955.33333333333326</v>
      </c>
      <c r="H67" s="25">
        <f>'Support Housing'!H67+'FC TOTAL'!H67+'SS Total'!H68+Comms!H67+Fundraising!H67+'Proj Dev'!H66+Admin_Total!H67</f>
        <v>955.33333333333326</v>
      </c>
      <c r="I67" s="25">
        <f>'Support Housing'!I67+'FC TOTAL'!I67+'SS Total'!I68+Comms!I67+Fundraising!I67+'Proj Dev'!I66+Admin_Total!I67</f>
        <v>1254.3333333333333</v>
      </c>
      <c r="J67" s="25">
        <f>'Support Housing'!J67+'FC TOTAL'!J67+'SS Total'!J68+Comms!J67+Fundraising!J67+'Proj Dev'!J66+Admin_Total!J67</f>
        <v>955.33333333333326</v>
      </c>
      <c r="K67" s="25">
        <f>'Support Housing'!K67+'FC TOTAL'!K67+'SS Total'!K68+Comms!K67+Fundraising!K67+'Proj Dev'!K66+Admin_Total!K67</f>
        <v>955.33333333333326</v>
      </c>
      <c r="L67" s="25">
        <f>'Support Housing'!L67+'FC TOTAL'!L67+'SS Total'!L68+Comms!L67+Fundraising!L67+'Proj Dev'!L66+Admin_Total!L67</f>
        <v>1254.3333333333333</v>
      </c>
      <c r="M67" s="25">
        <f>'Support Housing'!M67+'FC TOTAL'!M67+'SS Total'!M68+Comms!M67+Fundraising!M67+'Proj Dev'!M66+Admin_Total!M67</f>
        <v>955.33333333333326</v>
      </c>
      <c r="N67" s="25">
        <f>'Support Housing'!N67+'FC TOTAL'!N67+'SS Total'!N68+Comms!N67+Fundraising!N67+'Proj Dev'!N66+Admin_Total!N67</f>
        <v>955.33333333333326</v>
      </c>
      <c r="O67" s="25">
        <f>'Support Housing'!O67+'FC TOTAL'!O67+'SS Total'!O68+Comms!O67+Fundraising!O67+'Proj Dev'!O66+Admin_Total!O67</f>
        <v>1254.3333333333333</v>
      </c>
      <c r="P67" s="25">
        <f t="shared" si="10"/>
        <v>12660.000000000002</v>
      </c>
    </row>
    <row r="68" spans="1:16" x14ac:dyDescent="0.3">
      <c r="A68" s="26"/>
      <c r="B68" s="36" t="s">
        <v>55</v>
      </c>
      <c r="C68" s="25"/>
      <c r="D68" s="43">
        <f>'Support Housing'!D68+'FC TOTAL'!D68+'SS Total'!D69+Comms!D68+Fundraising!D68+'Proj Dev'!D67+Admin_Total!D68</f>
        <v>6500</v>
      </c>
      <c r="E68" s="25">
        <f>'Support Housing'!E68+'FC TOTAL'!E68+'SS Total'!E69+Comms!E68+Fundraising!E68+'Proj Dev'!E67+Admin_Total!E68</f>
        <v>6500</v>
      </c>
      <c r="F68" s="25">
        <f>'Support Housing'!F68+'FC TOTAL'!F68+'SS Total'!F69+Comms!F68+Fundraising!F68+'Proj Dev'!F67+Admin_Total!F68</f>
        <v>6500</v>
      </c>
      <c r="G68" s="25">
        <f>'Support Housing'!G68+'FC TOTAL'!G68+'SS Total'!G69+Comms!G68+Fundraising!G68+'Proj Dev'!G67+Admin_Total!G68</f>
        <v>6500</v>
      </c>
      <c r="H68" s="25">
        <f>'Support Housing'!H68+'FC TOTAL'!H68+'SS Total'!H69+Comms!H68+Fundraising!H68+'Proj Dev'!H67+Admin_Total!H68</f>
        <v>6500</v>
      </c>
      <c r="I68" s="25">
        <f>'Support Housing'!I68+'FC TOTAL'!I68+'SS Total'!I69+Comms!I68+Fundraising!I68+'Proj Dev'!I67+Admin_Total!I68</f>
        <v>6500</v>
      </c>
      <c r="J68" s="25">
        <f>'Support Housing'!J68+'FC TOTAL'!J68+'SS Total'!J69+Comms!J68+Fundraising!J68+'Proj Dev'!J67+Admin_Total!J68</f>
        <v>6500</v>
      </c>
      <c r="K68" s="25">
        <f>'Support Housing'!K68+'FC TOTAL'!K68+'SS Total'!K69+Comms!K68+Fundraising!K68+'Proj Dev'!K67+Admin_Total!K68</f>
        <v>6500</v>
      </c>
      <c r="L68" s="25">
        <f>'Support Housing'!L68+'FC TOTAL'!L68+'SS Total'!L69+Comms!L68+Fundraising!L68+'Proj Dev'!L67+Admin_Total!L68</f>
        <v>6500</v>
      </c>
      <c r="M68" s="25">
        <f>'Support Housing'!M68+'FC TOTAL'!M68+'SS Total'!M69+Comms!M68+Fundraising!M68+'Proj Dev'!M67+Admin_Total!M68</f>
        <v>6500</v>
      </c>
      <c r="N68" s="25">
        <f>'Support Housing'!N68+'FC TOTAL'!N68+'SS Total'!N69+Comms!N68+Fundraising!N68+'Proj Dev'!N67+Admin_Total!N68</f>
        <v>6500</v>
      </c>
      <c r="O68" s="25">
        <f>'Support Housing'!O68+'FC TOTAL'!O68+'SS Total'!O69+Comms!O68+Fundraising!O68+'Proj Dev'!O67+Admin_Total!O68</f>
        <v>6500</v>
      </c>
      <c r="P68" s="25">
        <f t="shared" si="10"/>
        <v>78000</v>
      </c>
    </row>
    <row r="69" spans="1:16" x14ac:dyDescent="0.3">
      <c r="A69" s="26"/>
      <c r="B69" s="36" t="s">
        <v>56</v>
      </c>
      <c r="C69" s="25"/>
      <c r="D69" s="43">
        <f>'Support Housing'!D69+'FC TOTAL'!D69+'SS Total'!D70+Comms!D69+Fundraising!D69+'Proj Dev'!D68+Admin_Total!D69</f>
        <v>3380.3333333333335</v>
      </c>
      <c r="E69" s="25">
        <f>'Support Housing'!E69+'FC TOTAL'!E69+'SS Total'!E70+Comms!E69+Fundraising!E69+'Proj Dev'!E68+Admin_Total!E69</f>
        <v>3380.3333333333335</v>
      </c>
      <c r="F69" s="25">
        <f>'Support Housing'!F69+'FC TOTAL'!F69+'SS Total'!F70+Comms!F69+Fundraising!F69+'Proj Dev'!F68+Admin_Total!F69</f>
        <v>3380.3333333333335</v>
      </c>
      <c r="G69" s="25">
        <f>'Support Housing'!G69+'FC TOTAL'!G69+'SS Total'!G70+Comms!G69+Fundraising!G69+'Proj Dev'!G68+Admin_Total!G69</f>
        <v>3380.3333333333335</v>
      </c>
      <c r="H69" s="25">
        <f>'Support Housing'!H69+'FC TOTAL'!H69+'SS Total'!H70+Comms!H69+Fundraising!H69+'Proj Dev'!H68+Admin_Total!H69</f>
        <v>3380.3333333333335</v>
      </c>
      <c r="I69" s="25">
        <f>'Support Housing'!I69+'FC TOTAL'!I69+'SS Total'!I70+Comms!I69+Fundraising!I69+'Proj Dev'!I68+Admin_Total!I69</f>
        <v>4380.333333333333</v>
      </c>
      <c r="J69" s="25">
        <f>'Support Housing'!J69+'FC TOTAL'!J69+'SS Total'!J70+Comms!J69+Fundraising!J69+'Proj Dev'!J68+Admin_Total!J69</f>
        <v>3380.3333333333335</v>
      </c>
      <c r="K69" s="25">
        <f>'Support Housing'!K69+'FC TOTAL'!K69+'SS Total'!K70+Comms!K69+Fundraising!K69+'Proj Dev'!K68+Admin_Total!K69</f>
        <v>3380.3333333333335</v>
      </c>
      <c r="L69" s="25">
        <f>'Support Housing'!L69+'FC TOTAL'!L69+'SS Total'!L70+Comms!L69+Fundraising!L69+'Proj Dev'!L68+Admin_Total!L69</f>
        <v>3380.3333333333335</v>
      </c>
      <c r="M69" s="25">
        <f>'Support Housing'!M69+'FC TOTAL'!M69+'SS Total'!M70+Comms!M69+Fundraising!M69+'Proj Dev'!M68+Admin_Total!M69</f>
        <v>3380.3333333333335</v>
      </c>
      <c r="N69" s="25">
        <f>'Support Housing'!N69+'FC TOTAL'!N69+'SS Total'!N70+Comms!N69+Fundraising!N69+'Proj Dev'!N68+Admin_Total!N69</f>
        <v>3380.3333333333335</v>
      </c>
      <c r="O69" s="25">
        <f>'Support Housing'!O69+'FC TOTAL'!O69+'SS Total'!O70+Comms!O69+Fundraising!O69+'Proj Dev'!O68+Admin_Total!O69</f>
        <v>3380.3333333333335</v>
      </c>
      <c r="P69" s="25">
        <f t="shared" si="10"/>
        <v>41564</v>
      </c>
    </row>
    <row r="70" spans="1:16" x14ac:dyDescent="0.3">
      <c r="A70" s="26"/>
      <c r="B70" s="36" t="s">
        <v>57</v>
      </c>
      <c r="C70" s="25"/>
      <c r="D70" s="43">
        <f>'Support Housing'!D70+'FC TOTAL'!D70+'SS Total'!D71+Comms!D70+Fundraising!D70+'Proj Dev'!D69+Admin_Total!D70</f>
        <v>1169.8333333333333</v>
      </c>
      <c r="E70" s="25">
        <f>'Support Housing'!E70+'FC TOTAL'!E70+'SS Total'!E71+Comms!E70+Fundraising!E70+'Proj Dev'!E69+Admin_Total!E70</f>
        <v>1169.8333333333333</v>
      </c>
      <c r="F70" s="25">
        <f>'Support Housing'!F70+'FC TOTAL'!F70+'SS Total'!F71+Comms!F70+Fundraising!F70+'Proj Dev'!F69+Admin_Total!F70</f>
        <v>1169.8333333333333</v>
      </c>
      <c r="G70" s="25">
        <f>'Support Housing'!G70+'FC TOTAL'!G70+'SS Total'!G71+Comms!G70+Fundraising!G70+'Proj Dev'!G69+Admin_Total!G70</f>
        <v>1169.8333333333333</v>
      </c>
      <c r="H70" s="25">
        <f>'Support Housing'!H70+'FC TOTAL'!H70+'SS Total'!H71+Comms!H70+Fundraising!H70+'Proj Dev'!H69+Admin_Total!H70</f>
        <v>1169.8333333333333</v>
      </c>
      <c r="I70" s="25">
        <f>'Support Housing'!I70+'FC TOTAL'!I70+'SS Total'!I71+Comms!I70+Fundraising!I70+'Proj Dev'!I69+Admin_Total!I70</f>
        <v>1169.8333333333333</v>
      </c>
      <c r="J70" s="25">
        <f>'Support Housing'!J70+'FC TOTAL'!J70+'SS Total'!J71+Comms!J70+Fundraising!J70+'Proj Dev'!J69+Admin_Total!J70</f>
        <v>1169.8333333333333</v>
      </c>
      <c r="K70" s="25">
        <f>'Support Housing'!K70+'FC TOTAL'!K70+'SS Total'!K71+Comms!K70+Fundraising!K70+'Proj Dev'!K69+Admin_Total!K70</f>
        <v>1169.8333333333333</v>
      </c>
      <c r="L70" s="25">
        <f>'Support Housing'!L70+'FC TOTAL'!L70+'SS Total'!L71+Comms!L70+Fundraising!L70+'Proj Dev'!L69+Admin_Total!L70</f>
        <v>1169.8333333333333</v>
      </c>
      <c r="M70" s="25">
        <f>'Support Housing'!M70+'FC TOTAL'!M70+'SS Total'!M71+Comms!M70+Fundraising!M70+'Proj Dev'!M69+Admin_Total!M70</f>
        <v>1169.8333333333333</v>
      </c>
      <c r="N70" s="25">
        <f>'Support Housing'!N70+'FC TOTAL'!N70+'SS Total'!N71+Comms!N70+Fundraising!N70+'Proj Dev'!N69+Admin_Total!N70</f>
        <v>1169.8333333333333</v>
      </c>
      <c r="O70" s="25">
        <f>'Support Housing'!O70+'FC TOTAL'!O70+'SS Total'!O71+Comms!O70+Fundraising!O70+'Proj Dev'!O69+Admin_Total!O70</f>
        <v>1169.8333333333333</v>
      </c>
      <c r="P70" s="25">
        <f t="shared" si="10"/>
        <v>14038.000000000002</v>
      </c>
    </row>
    <row r="71" spans="1:16" x14ac:dyDescent="0.3">
      <c r="A71" s="26"/>
      <c r="B71" s="36" t="s">
        <v>58</v>
      </c>
      <c r="C71" s="25"/>
      <c r="D71" s="43">
        <f>'Support Housing'!D71+'FC TOTAL'!D71+'SS Total'!D72+Comms!D71+Fundraising!D71+'Proj Dev'!D70+Admin_Total!D71</f>
        <v>0</v>
      </c>
      <c r="E71" s="25">
        <f>'Support Housing'!E71+'FC TOTAL'!E71+'SS Total'!E72+Comms!E71+Fundraising!E71+'Proj Dev'!E70+Admin_Total!E71</f>
        <v>0</v>
      </c>
      <c r="F71" s="25">
        <f>'Support Housing'!F71+'FC TOTAL'!F71+'SS Total'!F72+Comms!F71+Fundraising!F71+'Proj Dev'!F70+Admin_Total!F71</f>
        <v>0</v>
      </c>
      <c r="G71" s="25">
        <f>'Support Housing'!G71+'FC TOTAL'!G71+'SS Total'!G72+Comms!G71+Fundraising!G71+'Proj Dev'!G70+Admin_Total!G71</f>
        <v>8500</v>
      </c>
      <c r="H71" s="25">
        <f>'Support Housing'!H71+'FC TOTAL'!H71+'SS Total'!H72+Comms!H71+Fundraising!H71+'Proj Dev'!H70+Admin_Total!H71</f>
        <v>6500</v>
      </c>
      <c r="I71" s="25">
        <f>'Support Housing'!I71+'FC TOTAL'!I71+'SS Total'!I72+Comms!I71+Fundraising!I71+'Proj Dev'!I70+Admin_Total!I71</f>
        <v>0</v>
      </c>
      <c r="J71" s="25">
        <f>'Support Housing'!J71+'FC TOTAL'!J71+'SS Total'!J72+Comms!J71+Fundraising!J71+'Proj Dev'!J70+Admin_Total!J71</f>
        <v>0</v>
      </c>
      <c r="K71" s="25">
        <f>'Support Housing'!K71+'FC TOTAL'!K71+'SS Total'!K72+Comms!K71+Fundraising!K71+'Proj Dev'!K70+Admin_Total!K71</f>
        <v>0</v>
      </c>
      <c r="L71" s="25">
        <f>'Support Housing'!L71+'FC TOTAL'!L71+'SS Total'!L72+Comms!L71+Fundraising!L71+'Proj Dev'!L70+Admin_Total!L71</f>
        <v>0</v>
      </c>
      <c r="M71" s="25">
        <f>'Support Housing'!M71+'FC TOTAL'!M71+'SS Total'!M72+Comms!M71+Fundraising!M71+'Proj Dev'!M70+Admin_Total!M71</f>
        <v>0</v>
      </c>
      <c r="N71" s="25">
        <f>'Support Housing'!N71+'FC TOTAL'!N71+'SS Total'!N72+Comms!N71+Fundraising!N71+'Proj Dev'!N70+Admin_Total!N71</f>
        <v>0</v>
      </c>
      <c r="O71" s="25">
        <f>'Support Housing'!O71+'FC TOTAL'!O71+'SS Total'!O72+Comms!O71+Fundraising!O71+'Proj Dev'!O70+Admin_Total!O71</f>
        <v>0</v>
      </c>
      <c r="P71" s="25">
        <f t="shared" si="10"/>
        <v>15000</v>
      </c>
    </row>
    <row r="72" spans="1:16" x14ac:dyDescent="0.3">
      <c r="A72" s="26"/>
      <c r="B72" s="36" t="s">
        <v>59</v>
      </c>
      <c r="C72" s="25"/>
      <c r="D72" s="43">
        <f>'Support Housing'!D72+'FC TOTAL'!D72+'SS Total'!D73+Comms!D72+Fundraising!D72+'Proj Dev'!D71+Admin_Total!D72</f>
        <v>0</v>
      </c>
      <c r="E72" s="25">
        <f>'Support Housing'!E72+'FC TOTAL'!E72+'SS Total'!E73+Comms!E72+Fundraising!E72+'Proj Dev'!E71+Admin_Total!E72</f>
        <v>0</v>
      </c>
      <c r="F72" s="25">
        <f>'Support Housing'!F72+'FC TOTAL'!F72+'SS Total'!F73+Comms!F72+Fundraising!F72+'Proj Dev'!F71+Admin_Total!F72</f>
        <v>0</v>
      </c>
      <c r="G72" s="25">
        <f>'Support Housing'!G72+'FC TOTAL'!G72+'SS Total'!G73+Comms!G72+Fundraising!G72+'Proj Dev'!G71+Admin_Total!G72</f>
        <v>0</v>
      </c>
      <c r="H72" s="25">
        <f>'Support Housing'!H72+'FC TOTAL'!H72+'SS Total'!H73+Comms!H72+Fundraising!H72+'Proj Dev'!H71+Admin_Total!H72</f>
        <v>0</v>
      </c>
      <c r="I72" s="25">
        <f>'Support Housing'!I72+'FC TOTAL'!I72+'SS Total'!I73+Comms!I72+Fundraising!I72+'Proj Dev'!I71+Admin_Total!I72</f>
        <v>0</v>
      </c>
      <c r="J72" s="25">
        <f>'Support Housing'!J72+'FC TOTAL'!J72+'SS Total'!J73+Comms!J72+Fundraising!J72+'Proj Dev'!J71+Admin_Total!J72</f>
        <v>0</v>
      </c>
      <c r="K72" s="25">
        <f>'Support Housing'!K72+'FC TOTAL'!K72+'SS Total'!K73+Comms!K72+Fundraising!K72+'Proj Dev'!K71+Admin_Total!K72</f>
        <v>0</v>
      </c>
      <c r="L72" s="25">
        <f>'Support Housing'!L72+'FC TOTAL'!L72+'SS Total'!L73+Comms!L72+Fundraising!L72+'Proj Dev'!L71+Admin_Total!L72</f>
        <v>0</v>
      </c>
      <c r="M72" s="25">
        <f>'Support Housing'!M72+'FC TOTAL'!M72+'SS Total'!M73+Comms!M72+Fundraising!M72+'Proj Dev'!M71+Admin_Total!M72</f>
        <v>0</v>
      </c>
      <c r="N72" s="25">
        <f>'Support Housing'!N72+'FC TOTAL'!N72+'SS Total'!N73+Comms!N72+Fundraising!N72+'Proj Dev'!N71+Admin_Total!N72</f>
        <v>0</v>
      </c>
      <c r="O72" s="25">
        <f>'Support Housing'!O72+'FC TOTAL'!O72+'SS Total'!O73+Comms!O72+Fundraising!O72+'Proj Dev'!O71+Admin_Total!O72</f>
        <v>0</v>
      </c>
      <c r="P72" s="25">
        <f t="shared" si="10"/>
        <v>0</v>
      </c>
    </row>
    <row r="73" spans="1:16" x14ac:dyDescent="0.3">
      <c r="A73" s="26"/>
      <c r="B73" s="36" t="s">
        <v>60</v>
      </c>
      <c r="C73" s="25"/>
      <c r="D73" s="43">
        <f>'Support Housing'!D73+'FC TOTAL'!D73+'SS Total'!D74+Comms!D73+Fundraising!D73+'Proj Dev'!D72+Admin_Total!D73</f>
        <v>0</v>
      </c>
      <c r="E73" s="25">
        <f>'Support Housing'!E73+'FC TOTAL'!E73+'SS Total'!E74+Comms!E73+Fundraising!E73+'Proj Dev'!E72+Admin_Total!E73</f>
        <v>0</v>
      </c>
      <c r="F73" s="25">
        <f>'Support Housing'!F73+'FC TOTAL'!F73+'SS Total'!F74+Comms!F73+Fundraising!F73+'Proj Dev'!F72+Admin_Total!F73</f>
        <v>0</v>
      </c>
      <c r="G73" s="25">
        <f>'Support Housing'!G73+'FC TOTAL'!G73+'SS Total'!G74+Comms!G73+Fundraising!G73+'Proj Dev'!G72+Admin_Total!G73</f>
        <v>0</v>
      </c>
      <c r="H73" s="25">
        <f>'Support Housing'!H73+'FC TOTAL'!H73+'SS Total'!H74+Comms!H73+Fundraising!H73+'Proj Dev'!H72+Admin_Total!H73</f>
        <v>0</v>
      </c>
      <c r="I73" s="25">
        <f>'Support Housing'!I73+'FC TOTAL'!I73+'SS Total'!I74+Comms!I73+Fundraising!I73+'Proj Dev'!I72+Admin_Total!I73</f>
        <v>0</v>
      </c>
      <c r="J73" s="25">
        <f>'Support Housing'!J73+'FC TOTAL'!J73+'SS Total'!J74+Comms!J73+Fundraising!J73+'Proj Dev'!J72+Admin_Total!J73</f>
        <v>0</v>
      </c>
      <c r="K73" s="25">
        <f>'Support Housing'!K73+'FC TOTAL'!K73+'SS Total'!K74+Comms!K73+Fundraising!K73+'Proj Dev'!K72+Admin_Total!K73</f>
        <v>0</v>
      </c>
      <c r="L73" s="25">
        <f>'Support Housing'!L73+'FC TOTAL'!L73+'SS Total'!L74+Comms!L73+Fundraising!L73+'Proj Dev'!L72+Admin_Total!L73</f>
        <v>0</v>
      </c>
      <c r="M73" s="25">
        <f>'Support Housing'!M73+'FC TOTAL'!M73+'SS Total'!M74+Comms!M73+Fundraising!M73+'Proj Dev'!M72+Admin_Total!M73</f>
        <v>0</v>
      </c>
      <c r="N73" s="25">
        <f>'Support Housing'!N73+'FC TOTAL'!N73+'SS Total'!N74+Comms!N73+Fundraising!N73+'Proj Dev'!N72+Admin_Total!N73</f>
        <v>0</v>
      </c>
      <c r="O73" s="25">
        <f>'Support Housing'!O73+'FC TOTAL'!O73+'SS Total'!O74+Comms!O73+Fundraising!O73+'Proj Dev'!O72+Admin_Total!O73</f>
        <v>0</v>
      </c>
      <c r="P73" s="25">
        <f t="shared" si="10"/>
        <v>0</v>
      </c>
    </row>
    <row r="74" spans="1:16" x14ac:dyDescent="0.3">
      <c r="A74" s="26"/>
      <c r="B74" s="36" t="s">
        <v>61</v>
      </c>
      <c r="C74" s="25"/>
      <c r="D74" s="43">
        <f>'Support Housing'!D74+'FC TOTAL'!D74+'SS Total'!D75+Comms!D74+Fundraising!D74+'Proj Dev'!D73+Admin_Total!D74</f>
        <v>5075</v>
      </c>
      <c r="E74" s="25">
        <f>'Support Housing'!E74+'FC TOTAL'!E74+'SS Total'!E75+Comms!E74+Fundraising!E74+'Proj Dev'!E73+Admin_Total!E74</f>
        <v>5075</v>
      </c>
      <c r="F74" s="25">
        <f>'Support Housing'!F74+'FC TOTAL'!F74+'SS Total'!F75+Comms!F74+Fundraising!F74+'Proj Dev'!F73+Admin_Total!F74</f>
        <v>5825</v>
      </c>
      <c r="G74" s="25">
        <f>'Support Housing'!G74+'FC TOTAL'!G74+'SS Total'!G75+Comms!G74+Fundraising!G74+'Proj Dev'!G73+Admin_Total!G74</f>
        <v>5075</v>
      </c>
      <c r="H74" s="25">
        <f>'Support Housing'!H74+'FC TOTAL'!H74+'SS Total'!H75+Comms!H74+Fundraising!H74+'Proj Dev'!H73+Admin_Total!H74</f>
        <v>5100</v>
      </c>
      <c r="I74" s="25">
        <f>'Support Housing'!I74+'FC TOTAL'!I74+'SS Total'!I75+Comms!I74+Fundraising!I74+'Proj Dev'!I73+Admin_Total!I74</f>
        <v>5075</v>
      </c>
      <c r="J74" s="25">
        <f>'Support Housing'!J74+'FC TOTAL'!J74+'SS Total'!J75+Comms!J74+Fundraising!J74+'Proj Dev'!J73+Admin_Total!J74</f>
        <v>5075</v>
      </c>
      <c r="K74" s="25">
        <f>'Support Housing'!K74+'FC TOTAL'!K74+'SS Total'!K75+Comms!K74+Fundraising!K74+'Proj Dev'!K73+Admin_Total!K74</f>
        <v>5075</v>
      </c>
      <c r="L74" s="25">
        <f>'Support Housing'!L74+'FC TOTAL'!L74+'SS Total'!L75+Comms!L74+Fundraising!L74+'Proj Dev'!L73+Admin_Total!L74</f>
        <v>5075</v>
      </c>
      <c r="M74" s="25">
        <f>'Support Housing'!M74+'FC TOTAL'!M74+'SS Total'!M75+Comms!M74+Fundraising!M74+'Proj Dev'!M73+Admin_Total!M74</f>
        <v>5075</v>
      </c>
      <c r="N74" s="25">
        <f>'Support Housing'!N74+'FC TOTAL'!N74+'SS Total'!N75+Comms!N74+Fundraising!N74+'Proj Dev'!N73+Admin_Total!N74</f>
        <v>5075</v>
      </c>
      <c r="O74" s="25">
        <f>'Support Housing'!O74+'FC TOTAL'!O74+'SS Total'!O75+Comms!O74+Fundraising!O74+'Proj Dev'!O73+Admin_Total!O74</f>
        <v>5075</v>
      </c>
      <c r="P74" s="25">
        <f t="shared" si="10"/>
        <v>61675</v>
      </c>
    </row>
    <row r="75" spans="1:16" x14ac:dyDescent="0.3">
      <c r="A75" s="26"/>
      <c r="B75" s="36" t="s">
        <v>62</v>
      </c>
      <c r="C75" s="25"/>
      <c r="D75" s="43">
        <f>'Support Housing'!D75+'FC TOTAL'!D75+'SS Total'!D76+Comms!D75+Fundraising!D75+'Proj Dev'!D74+Admin_Total!D75</f>
        <v>440</v>
      </c>
      <c r="E75" s="25">
        <f>'Support Housing'!E75+'FC TOTAL'!E75+'SS Total'!E76+Comms!E75+Fundraising!E75+'Proj Dev'!E74+Admin_Total!E75</f>
        <v>440</v>
      </c>
      <c r="F75" s="25">
        <f>'Support Housing'!F75+'FC TOTAL'!F75+'SS Total'!F76+Comms!F75+Fundraising!F75+'Proj Dev'!F74+Admin_Total!F75</f>
        <v>440</v>
      </c>
      <c r="G75" s="25">
        <f>'Support Housing'!G75+'FC TOTAL'!G75+'SS Total'!G76+Comms!G75+Fundraising!G75+'Proj Dev'!G74+Admin_Total!G75</f>
        <v>440</v>
      </c>
      <c r="H75" s="25">
        <f>'Support Housing'!H75+'FC TOTAL'!H75+'SS Total'!H76+Comms!H75+Fundraising!H75+'Proj Dev'!H74+Admin_Total!H75</f>
        <v>440</v>
      </c>
      <c r="I75" s="25">
        <f>'Support Housing'!I75+'FC TOTAL'!I75+'SS Total'!I76+Comms!I75+Fundraising!I75+'Proj Dev'!I74+Admin_Total!I75</f>
        <v>440</v>
      </c>
      <c r="J75" s="25">
        <f>'Support Housing'!J75+'FC TOTAL'!J75+'SS Total'!J76+Comms!J75+Fundraising!J75+'Proj Dev'!J74+Admin_Total!J75</f>
        <v>440</v>
      </c>
      <c r="K75" s="25">
        <f>'Support Housing'!K75+'FC TOTAL'!K75+'SS Total'!K76+Comms!K75+Fundraising!K75+'Proj Dev'!K74+Admin_Total!K75</f>
        <v>440</v>
      </c>
      <c r="L75" s="25">
        <f>'Support Housing'!L75+'FC TOTAL'!L75+'SS Total'!L76+Comms!L75+Fundraising!L75+'Proj Dev'!L74+Admin_Total!L75</f>
        <v>3065</v>
      </c>
      <c r="M75" s="25">
        <f>'Support Housing'!M75+'FC TOTAL'!M75+'SS Total'!M76+Comms!M75+Fundraising!M75+'Proj Dev'!M74+Admin_Total!M75</f>
        <v>1940</v>
      </c>
      <c r="N75" s="25">
        <f>'Support Housing'!N75+'FC TOTAL'!N75+'SS Total'!N76+Comms!N75+Fundraising!N75+'Proj Dev'!N74+Admin_Total!N75</f>
        <v>440</v>
      </c>
      <c r="O75" s="25">
        <f>'Support Housing'!O75+'FC TOTAL'!O75+'SS Total'!O76+Comms!O75+Fundraising!O75+'Proj Dev'!O74+Admin_Total!O75</f>
        <v>440</v>
      </c>
      <c r="P75" s="25">
        <f t="shared" si="10"/>
        <v>9405</v>
      </c>
    </row>
    <row r="76" spans="1:16" x14ac:dyDescent="0.3">
      <c r="A76" s="26"/>
      <c r="B76" s="36" t="s">
        <v>63</v>
      </c>
      <c r="C76" s="25"/>
      <c r="D76" s="25">
        <f>'Support Housing'!D76+'FC TOTAL'!D76+'SS Total'!D77+Comms!D76+Fundraising!D76+'Proj Dev'!D75+Admin_Total!D76</f>
        <v>700</v>
      </c>
      <c r="E76" s="25">
        <f>'Support Housing'!E76+'FC TOTAL'!E76+'SS Total'!E77+Comms!E76+Fundraising!E76+'Proj Dev'!E75+Admin_Total!E76</f>
        <v>700</v>
      </c>
      <c r="F76" s="25">
        <f>'Support Housing'!F76+'FC TOTAL'!F76+'SS Total'!F77+Comms!F76+Fundraising!F76+'Proj Dev'!F75+Admin_Total!F76</f>
        <v>700</v>
      </c>
      <c r="G76" s="25">
        <f>'Support Housing'!G76+'FC TOTAL'!G76+'SS Total'!G77+Comms!G76+Fundraising!G76+'Proj Dev'!G75+Admin_Total!G76</f>
        <v>700</v>
      </c>
      <c r="H76" s="25">
        <f>'Support Housing'!H76+'FC TOTAL'!H76+'SS Total'!H77+Comms!H76+Fundraising!H76+'Proj Dev'!H75+Admin_Total!H76</f>
        <v>700</v>
      </c>
      <c r="I76" s="25">
        <f>'Support Housing'!I76+'FC TOTAL'!I76+'SS Total'!I77+Comms!I76+Fundraising!I76+'Proj Dev'!I75+Admin_Total!I76</f>
        <v>700</v>
      </c>
      <c r="J76" s="25">
        <f>'Support Housing'!J76+'FC TOTAL'!J76+'SS Total'!J77+Comms!J76+Fundraising!J76+'Proj Dev'!J75+Admin_Total!J76</f>
        <v>700</v>
      </c>
      <c r="K76" s="25">
        <f>'Support Housing'!K76+'FC TOTAL'!K76+'SS Total'!K77+Comms!K76+Fundraising!K76+'Proj Dev'!K75+Admin_Total!K76</f>
        <v>700</v>
      </c>
      <c r="L76" s="25">
        <f>'Support Housing'!L76+'FC TOTAL'!L76+'SS Total'!L77+Comms!L76+Fundraising!L76+'Proj Dev'!L75+Admin_Total!L76</f>
        <v>700</v>
      </c>
      <c r="M76" s="25">
        <f>'Support Housing'!M76+'FC TOTAL'!M76+'SS Total'!M77+Comms!M76+Fundraising!M76+'Proj Dev'!M75+Admin_Total!M76</f>
        <v>700</v>
      </c>
      <c r="N76" s="25">
        <f>'Support Housing'!N76+'FC TOTAL'!N76+'SS Total'!N77+Comms!N76+Fundraising!N76+'Proj Dev'!N75+Admin_Total!N76</f>
        <v>700</v>
      </c>
      <c r="O76" s="25">
        <f>'Support Housing'!O76+'FC TOTAL'!O76+'SS Total'!O77+Comms!O76+Fundraising!O76+'Proj Dev'!O75+Admin_Total!O76</f>
        <v>700</v>
      </c>
      <c r="P76" s="25">
        <f t="shared" si="10"/>
        <v>8400</v>
      </c>
    </row>
    <row r="77" spans="1:16" x14ac:dyDescent="0.3">
      <c r="A77" s="36" t="s">
        <v>17</v>
      </c>
      <c r="B77" s="36" t="s">
        <v>64</v>
      </c>
      <c r="C77" s="25"/>
      <c r="D77" s="25">
        <f>'Support Housing'!D77+'FC TOTAL'!D77+'SS Total'!D78+Comms!D77+Fundraising!D77+'Proj Dev'!D76+Admin_Total!D77</f>
        <v>0</v>
      </c>
      <c r="E77" s="25">
        <f>'Support Housing'!E77+'FC TOTAL'!E77+'SS Total'!E78+Comms!E77+Fundraising!E77+'Proj Dev'!E76+Admin_Total!E77</f>
        <v>0</v>
      </c>
      <c r="F77" s="25">
        <f>'Support Housing'!F77+'FC TOTAL'!F77+'SS Total'!F78+Comms!F77+Fundraising!F77+'Proj Dev'!F76+Admin_Total!F77</f>
        <v>0</v>
      </c>
      <c r="G77" s="25">
        <f>'Support Housing'!G77+'FC TOTAL'!G77+'SS Total'!G78+Comms!G77+Fundraising!G77+'Proj Dev'!G76+Admin_Total!G77</f>
        <v>0</v>
      </c>
      <c r="H77" s="25">
        <f>'Support Housing'!H77+'FC TOTAL'!H77+'SS Total'!H78+Comms!H77+Fundraising!H77+'Proj Dev'!H76+Admin_Total!H77</f>
        <v>0</v>
      </c>
      <c r="I77" s="25">
        <f>'Support Housing'!I77+'FC TOTAL'!I77+'SS Total'!I78+Comms!I77+Fundraising!I77+'Proj Dev'!I76+Admin_Total!I77</f>
        <v>0</v>
      </c>
      <c r="J77" s="25">
        <f>'Support Housing'!J77+'FC TOTAL'!J77+'SS Total'!J78+Comms!J77+Fundraising!J77+'Proj Dev'!J76+Admin_Total!J77</f>
        <v>0</v>
      </c>
      <c r="K77" s="25">
        <f>'Support Housing'!K77+'FC TOTAL'!K77+'SS Total'!K78+Comms!K77+Fundraising!K77+'Proj Dev'!K76+Admin_Total!K77</f>
        <v>0</v>
      </c>
      <c r="L77" s="25">
        <f>'Support Housing'!L77+'FC TOTAL'!L77+'SS Total'!L78+Comms!L77+Fundraising!L77+'Proj Dev'!L76+Admin_Total!L77</f>
        <v>0</v>
      </c>
      <c r="M77" s="25">
        <f>'Support Housing'!M77+'FC TOTAL'!M77+'SS Total'!M78+Comms!M77+Fundraising!M77+'Proj Dev'!M76+Admin_Total!M77</f>
        <v>0</v>
      </c>
      <c r="N77" s="25">
        <f>'Support Housing'!N77+'FC TOTAL'!N77+'SS Total'!N78+Comms!N77+Fundraising!N77+'Proj Dev'!N76+Admin_Total!N77</f>
        <v>0</v>
      </c>
      <c r="O77" s="25">
        <f>'Support Housing'!O77+'FC TOTAL'!O77+'SS Total'!O78+Comms!O77+Fundraising!O77+'Proj Dev'!O76+Admin_Total!O77</f>
        <v>0</v>
      </c>
      <c r="P77" s="25">
        <f t="shared" si="10"/>
        <v>0</v>
      </c>
    </row>
    <row r="78" spans="1:16" x14ac:dyDescent="0.3">
      <c r="A78" s="26"/>
      <c r="B78" s="36" t="s">
        <v>65</v>
      </c>
      <c r="C78" s="25"/>
      <c r="D78" s="25">
        <f>'Support Housing'!D78+'FC TOTAL'!D78+'SS Total'!D79+Comms!D78+Fundraising!D78+'Proj Dev'!D77+Admin_Total!D78</f>
        <v>66.666666666666657</v>
      </c>
      <c r="E78" s="25">
        <f>'Support Housing'!E78+'FC TOTAL'!E78+'SS Total'!E79+Comms!E78+Fundraising!E78+'Proj Dev'!E77+Admin_Total!E78</f>
        <v>66.666666666666657</v>
      </c>
      <c r="F78" s="25">
        <f>'Support Housing'!F78+'FC TOTAL'!F78+'SS Total'!F79+Comms!F78+Fundraising!F78+'Proj Dev'!F77+Admin_Total!F78</f>
        <v>141.66666666666666</v>
      </c>
      <c r="G78" s="25">
        <f>'Support Housing'!G78+'FC TOTAL'!G78+'SS Total'!G79+Comms!G78+Fundraising!G78+'Proj Dev'!G77+Admin_Total!G78</f>
        <v>66.666666666666657</v>
      </c>
      <c r="H78" s="25">
        <f>'Support Housing'!H78+'FC TOTAL'!H78+'SS Total'!H79+Comms!H78+Fundraising!H78+'Proj Dev'!H77+Admin_Total!H78</f>
        <v>66.666666666666657</v>
      </c>
      <c r="I78" s="25">
        <f>'Support Housing'!I78+'FC TOTAL'!I78+'SS Total'!I79+Comms!I78+Fundraising!I78+'Proj Dev'!I77+Admin_Total!I78</f>
        <v>141.66666666666666</v>
      </c>
      <c r="J78" s="25">
        <f>'Support Housing'!J78+'FC TOTAL'!J78+'SS Total'!J79+Comms!J78+Fundraising!J78+'Proj Dev'!J77+Admin_Total!J78</f>
        <v>66.666666666666657</v>
      </c>
      <c r="K78" s="25">
        <f>'Support Housing'!K78+'FC TOTAL'!K78+'SS Total'!K79+Comms!K78+Fundraising!K78+'Proj Dev'!K77+Admin_Total!K78</f>
        <v>66.666666666666657</v>
      </c>
      <c r="L78" s="25">
        <f>'Support Housing'!L78+'FC TOTAL'!L78+'SS Total'!L79+Comms!L78+Fundraising!L78+'Proj Dev'!L77+Admin_Total!L78</f>
        <v>141.66666666666666</v>
      </c>
      <c r="M78" s="25">
        <f>'Support Housing'!M78+'FC TOTAL'!M78+'SS Total'!M79+Comms!M78+Fundraising!M78+'Proj Dev'!M77+Admin_Total!M78</f>
        <v>66.666666666666657</v>
      </c>
      <c r="N78" s="25">
        <f>'Support Housing'!N78+'FC TOTAL'!N78+'SS Total'!N79+Comms!N78+Fundraising!N78+'Proj Dev'!N77+Admin_Total!N78</f>
        <v>66.666666666666657</v>
      </c>
      <c r="O78" s="25">
        <f>'Support Housing'!O78+'FC TOTAL'!O78+'SS Total'!O79+Comms!O78+Fundraising!O78+'Proj Dev'!O77+Admin_Total!O78</f>
        <v>141.66666666666666</v>
      </c>
      <c r="P78" s="25">
        <f t="shared" si="10"/>
        <v>1099.9999999999998</v>
      </c>
    </row>
    <row r="79" spans="1:16" x14ac:dyDescent="0.3">
      <c r="A79" s="26"/>
      <c r="B79" s="26"/>
      <c r="C79" s="25"/>
      <c r="D79" s="25">
        <f>'Support Housing'!D79+'FC TOTAL'!D79+'SS Total'!D80+Comms!D79+Fundraising!D79+'Proj Dev'!D78+Admin_Total!D79</f>
        <v>0</v>
      </c>
      <c r="E79" s="25">
        <f>'Support Housing'!E79+'FC TOTAL'!E79+'SS Total'!E80+Comms!E79+Fundraising!E79+'Proj Dev'!E78+Admin_Total!E79</f>
        <v>0</v>
      </c>
      <c r="F79" s="25">
        <f>'Support Housing'!F79+'FC TOTAL'!F79+'SS Total'!F80+Comms!F79+Fundraising!F79+'Proj Dev'!F78+Admin_Total!F79</f>
        <v>0</v>
      </c>
      <c r="G79" s="25">
        <f>'Support Housing'!G79+'FC TOTAL'!G79+'SS Total'!G80+Comms!G79+Fundraising!G79+'Proj Dev'!G78+Admin_Total!G79</f>
        <v>0</v>
      </c>
      <c r="H79" s="25">
        <f>'Support Housing'!H79+'FC TOTAL'!H79+'SS Total'!H80+Comms!H79+Fundraising!H79+'Proj Dev'!H78+Admin_Total!H79</f>
        <v>0</v>
      </c>
      <c r="I79" s="25">
        <f>'Support Housing'!I79+'FC TOTAL'!I79+'SS Total'!I80+Comms!I79+Fundraising!I79+'Proj Dev'!I78+Admin_Total!I79</f>
        <v>0</v>
      </c>
      <c r="J79" s="25">
        <f>'Support Housing'!J79+'FC TOTAL'!J79+'SS Total'!J80+Comms!J79+Fundraising!J79+'Proj Dev'!J78+Admin_Total!J79</f>
        <v>0</v>
      </c>
      <c r="K79" s="25">
        <f>'Support Housing'!K79+'FC TOTAL'!K79+'SS Total'!K80+Comms!K79+Fundraising!K79+'Proj Dev'!K78+Admin_Total!K79</f>
        <v>0</v>
      </c>
      <c r="L79" s="25">
        <f>'Support Housing'!L79+'FC TOTAL'!L79+'SS Total'!L80+Comms!L79+Fundraising!L79+'Proj Dev'!L78+Admin_Total!L79</f>
        <v>0</v>
      </c>
      <c r="M79" s="25">
        <f>'Support Housing'!M79+'FC TOTAL'!M79+'SS Total'!M80+Comms!M79+Fundraising!M79+'Proj Dev'!M78+Admin_Total!M79</f>
        <v>0</v>
      </c>
      <c r="N79" s="25">
        <f>'Support Housing'!N79+'FC TOTAL'!N79+'SS Total'!N80+Comms!N79+Fundraising!N79+'Proj Dev'!N78+Admin_Total!N79</f>
        <v>0</v>
      </c>
      <c r="O79" s="25">
        <f>'Support Housing'!O79+'FC TOTAL'!O79+'SS Total'!O80+Comms!O79+Fundraising!O79+'Proj Dev'!O78+Admin_Total!O79</f>
        <v>0</v>
      </c>
      <c r="P79" s="25">
        <f t="shared" si="10"/>
        <v>0</v>
      </c>
    </row>
    <row r="80" spans="1:16" x14ac:dyDescent="0.3">
      <c r="A80" s="26"/>
      <c r="B80" s="36"/>
      <c r="C80" s="25"/>
      <c r="D80" s="25">
        <f>'Support Housing'!D80+'FC TOTAL'!D80+'SS Total'!D81+Comms!D80+Fundraising!D80+'Proj Dev'!D79+Admin_Total!D80</f>
        <v>0</v>
      </c>
      <c r="E80" s="25">
        <f>'Support Housing'!E80+'FC TOTAL'!E80+'SS Total'!E81+Comms!E80+Fundraising!E80+'Proj Dev'!E79+Admin_Total!E80</f>
        <v>0</v>
      </c>
      <c r="F80" s="25">
        <f>'Support Housing'!F80+'FC TOTAL'!F80+'SS Total'!F81+Comms!F80+Fundraising!F80+'Proj Dev'!F79+Admin_Total!F80</f>
        <v>0</v>
      </c>
      <c r="G80" s="25">
        <f>'Support Housing'!G80+'FC TOTAL'!G80+'SS Total'!G81+Comms!G80+Fundraising!G80+'Proj Dev'!G79+Admin_Total!G80</f>
        <v>0</v>
      </c>
      <c r="H80" s="25">
        <f>'Support Housing'!H80+'FC TOTAL'!H80+'SS Total'!H81+Comms!H80+Fundraising!H80+'Proj Dev'!H79+Admin_Total!H80</f>
        <v>0</v>
      </c>
      <c r="I80" s="25">
        <f>'Support Housing'!I80+'FC TOTAL'!I80+'SS Total'!I81+Comms!I80+Fundraising!I80+'Proj Dev'!I79+Admin_Total!I80</f>
        <v>0</v>
      </c>
      <c r="J80" s="25">
        <f>'Support Housing'!J80+'FC TOTAL'!J80+'SS Total'!J81+Comms!J80+Fundraising!J80+'Proj Dev'!J79+Admin_Total!J80</f>
        <v>0</v>
      </c>
      <c r="K80" s="25">
        <f>'Support Housing'!K80+'FC TOTAL'!K80+'SS Total'!K81+Comms!K80+Fundraising!K80+'Proj Dev'!K79+Admin_Total!K80</f>
        <v>0</v>
      </c>
      <c r="L80" s="25">
        <f>'Support Housing'!L80+'FC TOTAL'!L80+'SS Total'!L81+Comms!L80+Fundraising!L80+'Proj Dev'!L79+Admin_Total!L80</f>
        <v>0</v>
      </c>
      <c r="M80" s="25">
        <f>'Support Housing'!M80+'FC TOTAL'!M80+'SS Total'!M81+Comms!M80+Fundraising!M80+'Proj Dev'!M79+Admin_Total!M80</f>
        <v>0</v>
      </c>
      <c r="N80" s="25">
        <f>'Support Housing'!N80+'FC TOTAL'!N80+'SS Total'!N81+Comms!N80+Fundraising!N80+'Proj Dev'!N79+Admin_Total!N80</f>
        <v>0</v>
      </c>
      <c r="O80" s="25">
        <f>'Support Housing'!O80+'FC TOTAL'!O80+'SS Total'!O81+Comms!O80+Fundraising!O80+'Proj Dev'!O79+Admin_Total!O80</f>
        <v>0</v>
      </c>
      <c r="P80" s="25">
        <f t="shared" si="10"/>
        <v>0</v>
      </c>
    </row>
    <row r="81" spans="1:16" x14ac:dyDescent="0.3">
      <c r="A81" s="26"/>
      <c r="B81" s="36"/>
      <c r="C81" s="25"/>
      <c r="D81" s="25">
        <f>'Support Housing'!D81+'FC TOTAL'!D81+'SS Total'!D82+Comms!D81+Fundraising!D81+'Proj Dev'!D80+Admin_Total!D81</f>
        <v>0</v>
      </c>
      <c r="E81" s="25">
        <f>'Support Housing'!E81+'FC TOTAL'!E81+'SS Total'!E82+Comms!E81+Fundraising!E81+'Proj Dev'!E80+Admin_Total!E81</f>
        <v>0</v>
      </c>
      <c r="F81" s="25">
        <f>'Support Housing'!F81+'FC TOTAL'!F81+'SS Total'!F82+Comms!F81+Fundraising!F81+'Proj Dev'!F80+Admin_Total!F81</f>
        <v>0</v>
      </c>
      <c r="G81" s="25">
        <f>'Support Housing'!G81+'FC TOTAL'!G81+'SS Total'!G82+Comms!G81+Fundraising!G81+'Proj Dev'!G80+Admin_Total!G81</f>
        <v>0</v>
      </c>
      <c r="H81" s="25">
        <f>'Support Housing'!H81+'FC TOTAL'!H81+'SS Total'!H82+Comms!H81+Fundraising!H81+'Proj Dev'!H80+Admin_Total!H81</f>
        <v>0</v>
      </c>
      <c r="I81" s="25">
        <f>'Support Housing'!I81+'FC TOTAL'!I81+'SS Total'!I82+Comms!I81+Fundraising!I81+'Proj Dev'!I80+Admin_Total!I81</f>
        <v>0</v>
      </c>
      <c r="J81" s="25">
        <f>'Support Housing'!J81+'FC TOTAL'!J81+'SS Total'!J82+Comms!J81+Fundraising!J81+'Proj Dev'!J80+Admin_Total!J81</f>
        <v>0</v>
      </c>
      <c r="K81" s="25">
        <f>'Support Housing'!K81+'FC TOTAL'!K81+'SS Total'!K82+Comms!K81+Fundraising!K81+'Proj Dev'!K80+Admin_Total!K81</f>
        <v>0</v>
      </c>
      <c r="L81" s="25">
        <f>'Support Housing'!L81+'FC TOTAL'!L81+'SS Total'!L82+Comms!L81+Fundraising!L81+'Proj Dev'!L80+Admin_Total!L81</f>
        <v>0</v>
      </c>
      <c r="M81" s="25">
        <f>'Support Housing'!M81+'FC TOTAL'!M81+'SS Total'!M82+Comms!M81+Fundraising!M81+'Proj Dev'!M80+Admin_Total!M81</f>
        <v>0</v>
      </c>
      <c r="N81" s="25">
        <f>'Support Housing'!N81+'FC TOTAL'!N81+'SS Total'!N82+Comms!N81+Fundraising!N81+'Proj Dev'!N80+Admin_Total!N81</f>
        <v>0</v>
      </c>
      <c r="O81" s="25">
        <f>'Support Housing'!O81+'FC TOTAL'!O81+'SS Total'!O82+Comms!O81+Fundraising!O81+'Proj Dev'!O80+Admin_Total!O81</f>
        <v>0</v>
      </c>
      <c r="P81" s="25">
        <f t="shared" si="10"/>
        <v>0</v>
      </c>
    </row>
    <row r="82" spans="1:16" x14ac:dyDescent="0.3">
      <c r="A82" s="26"/>
      <c r="B82" s="36"/>
      <c r="C82" s="25"/>
      <c r="D82" s="25">
        <f>'Support Housing'!D82+'FC TOTAL'!D82+'SS Total'!D83+Comms!D82+Fundraising!D82+'Proj Dev'!D81+Admin_Total!D82</f>
        <v>0</v>
      </c>
      <c r="E82" s="25">
        <f>'Support Housing'!E82+'FC TOTAL'!E82+'SS Total'!E83+Comms!E82+Fundraising!E82+'Proj Dev'!E81+Admin_Total!E82</f>
        <v>0</v>
      </c>
      <c r="F82" s="25">
        <f>'Support Housing'!F82+'FC TOTAL'!F82+'SS Total'!F83+Comms!F82+Fundraising!F82+'Proj Dev'!F81+Admin_Total!F82</f>
        <v>0</v>
      </c>
      <c r="G82" s="25">
        <f>'Support Housing'!G82+'FC TOTAL'!G82+'SS Total'!G83+Comms!G82+Fundraising!G82+'Proj Dev'!G81+Admin_Total!G82</f>
        <v>0</v>
      </c>
      <c r="H82" s="25">
        <f>'Support Housing'!H82+'FC TOTAL'!H82+'SS Total'!H83+Comms!H82+Fundraising!H82+'Proj Dev'!H81+Admin_Total!H82</f>
        <v>0</v>
      </c>
      <c r="I82" s="25">
        <f>'Support Housing'!I82+'FC TOTAL'!I82+'SS Total'!I83+Comms!I82+Fundraising!I82+'Proj Dev'!I81+Admin_Total!I82</f>
        <v>0</v>
      </c>
      <c r="J82" s="25">
        <f>'Support Housing'!J82+'FC TOTAL'!J82+'SS Total'!J83+Comms!J82+Fundraising!J82+'Proj Dev'!J81+Admin_Total!J82</f>
        <v>0</v>
      </c>
      <c r="K82" s="25">
        <f>'Support Housing'!K82+'FC TOTAL'!K82+'SS Total'!K83+Comms!K82+Fundraising!K82+'Proj Dev'!K81+Admin_Total!K82</f>
        <v>0</v>
      </c>
      <c r="L82" s="25">
        <f>'Support Housing'!L82+'FC TOTAL'!L82+'SS Total'!L83+Comms!L82+Fundraising!L82+'Proj Dev'!L81+Admin_Total!L82</f>
        <v>0</v>
      </c>
      <c r="M82" s="25">
        <f>'Support Housing'!M82+'FC TOTAL'!M82+'SS Total'!M83+Comms!M82+Fundraising!M82+'Proj Dev'!M81+Admin_Total!M82</f>
        <v>0</v>
      </c>
      <c r="N82" s="25">
        <f>'Support Housing'!N82+'FC TOTAL'!N82+'SS Total'!N83+Comms!N82+Fundraising!N82+'Proj Dev'!N81+Admin_Total!N82</f>
        <v>0</v>
      </c>
      <c r="O82" s="25">
        <f>'Support Housing'!O82+'FC TOTAL'!O82+'SS Total'!O83+Comms!O82+Fundraising!O82+'Proj Dev'!O81+Admin_Total!O82</f>
        <v>0</v>
      </c>
      <c r="P82" s="25">
        <f t="shared" si="10"/>
        <v>0</v>
      </c>
    </row>
    <row r="83" spans="1:16" x14ac:dyDescent="0.3">
      <c r="A83" s="26"/>
      <c r="B83" s="36"/>
      <c r="C83" s="25"/>
      <c r="D83" s="25">
        <f>'Support Housing'!D83+'FC TOTAL'!D83+'SS Total'!D84+Comms!D83+Fundraising!D83+'Proj Dev'!D82+Admin_Total!D83</f>
        <v>0</v>
      </c>
      <c r="E83" s="25">
        <f>'Support Housing'!E83+'FC TOTAL'!E83+'SS Total'!E84+Comms!E83+Fundraising!E83+'Proj Dev'!E82+Admin_Total!E83</f>
        <v>0</v>
      </c>
      <c r="F83" s="25">
        <f>'Support Housing'!F83+'FC TOTAL'!F83+'SS Total'!F84+Comms!F83+Fundraising!F83+'Proj Dev'!F82+Admin_Total!F83</f>
        <v>0</v>
      </c>
      <c r="G83" s="25">
        <f>'Support Housing'!G83+'FC TOTAL'!G83+'SS Total'!G84+Comms!G83+Fundraising!G83+'Proj Dev'!G82+Admin_Total!G83</f>
        <v>0</v>
      </c>
      <c r="H83" s="25">
        <f>'Support Housing'!H83+'FC TOTAL'!H83+'SS Total'!H84+Comms!H83+Fundraising!H83+'Proj Dev'!H82+Admin_Total!H83</f>
        <v>0</v>
      </c>
      <c r="I83" s="25">
        <f>'Support Housing'!I83+'FC TOTAL'!I83+'SS Total'!I84+Comms!I83+Fundraising!I83+'Proj Dev'!I82+Admin_Total!I83</f>
        <v>0</v>
      </c>
      <c r="J83" s="25">
        <f>'Support Housing'!J83+'FC TOTAL'!J83+'SS Total'!J84+Comms!J83+Fundraising!J83+'Proj Dev'!J82+Admin_Total!J83</f>
        <v>0</v>
      </c>
      <c r="K83" s="25">
        <f>'Support Housing'!K83+'FC TOTAL'!K83+'SS Total'!K84+Comms!K83+Fundraising!K83+'Proj Dev'!K82+Admin_Total!K83</f>
        <v>0</v>
      </c>
      <c r="L83" s="25">
        <f>'Support Housing'!L83+'FC TOTAL'!L83+'SS Total'!L84+Comms!L83+Fundraising!L83+'Proj Dev'!L82+Admin_Total!L83</f>
        <v>0</v>
      </c>
      <c r="M83" s="25">
        <f>'Support Housing'!M83+'FC TOTAL'!M83+'SS Total'!M84+Comms!M83+Fundraising!M83+'Proj Dev'!M82+Admin_Total!M83</f>
        <v>0</v>
      </c>
      <c r="N83" s="25">
        <f>'Support Housing'!N83+'FC TOTAL'!N83+'SS Total'!N84+Comms!N83+Fundraising!N83+'Proj Dev'!N82+Admin_Total!N83</f>
        <v>0</v>
      </c>
      <c r="O83" s="25">
        <f>'Support Housing'!O83+'FC TOTAL'!O83+'SS Total'!O84+Comms!O83+Fundraising!O83+'Proj Dev'!O82+Admin_Total!O83</f>
        <v>0</v>
      </c>
      <c r="P83" s="25">
        <f t="shared" si="10"/>
        <v>0</v>
      </c>
    </row>
    <row r="84" spans="1:16" x14ac:dyDescent="0.3">
      <c r="A84" s="194" t="s">
        <v>66</v>
      </c>
      <c r="B84" s="194"/>
      <c r="C84" s="25"/>
      <c r="D84" s="28">
        <f t="shared" ref="D84:I84" si="11">SUM(D56:D83)</f>
        <v>25003.829999999998</v>
      </c>
      <c r="E84" s="28">
        <f t="shared" si="11"/>
        <v>22303.83</v>
      </c>
      <c r="F84" s="28">
        <f t="shared" si="11"/>
        <v>23427.83</v>
      </c>
      <c r="G84" s="28">
        <f t="shared" si="11"/>
        <v>30803.83</v>
      </c>
      <c r="H84" s="28">
        <f t="shared" si="11"/>
        <v>28828.83</v>
      </c>
      <c r="I84" s="28">
        <f t="shared" si="11"/>
        <v>24427.829999999998</v>
      </c>
      <c r="J84" s="28">
        <f t="shared" ref="J84:O84" si="12">SUM(J55:J83)</f>
        <v>26845.49666666667</v>
      </c>
      <c r="K84" s="28">
        <f t="shared" si="12"/>
        <v>26845.49666666667</v>
      </c>
      <c r="L84" s="28">
        <f t="shared" si="12"/>
        <v>29844.49666666667</v>
      </c>
      <c r="M84" s="28">
        <f t="shared" si="12"/>
        <v>28345.49666666667</v>
      </c>
      <c r="N84" s="28">
        <f t="shared" si="12"/>
        <v>26845.49666666667</v>
      </c>
      <c r="O84" s="28">
        <f t="shared" si="12"/>
        <v>27219.49666666667</v>
      </c>
      <c r="P84" s="28">
        <f>SUM(P55:P83)</f>
        <v>347991.96</v>
      </c>
    </row>
    <row r="85" spans="1:16" x14ac:dyDescent="0.3">
      <c r="A85" s="194" t="s">
        <v>67</v>
      </c>
      <c r="B85" s="19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1:16" x14ac:dyDescent="0.3">
      <c r="A86" s="26"/>
      <c r="B86" s="36" t="s">
        <v>68</v>
      </c>
      <c r="C86" s="25"/>
      <c r="D86" s="25">
        <f>'Support Housing'!D86+'FC TOTAL'!D86+'SS Total'!D87+Comms!D86+Fundraising!D86+'Proj Dev'!D85+Admin_Total!D86</f>
        <v>2675</v>
      </c>
      <c r="E86" s="25">
        <f>'Support Housing'!E86+'FC TOTAL'!E86+'SS Total'!E87+Comms!E86+Fundraising!E86+'Proj Dev'!E85+Admin_Total!E86</f>
        <v>2975</v>
      </c>
      <c r="F86" s="25">
        <f>'Support Housing'!F86+'FC TOTAL'!F86+'SS Total'!F87+Comms!F86+Fundraising!F86+'Proj Dev'!F85+Admin_Total!F86</f>
        <v>2700</v>
      </c>
      <c r="G86" s="25">
        <f>'Support Housing'!G86+'FC TOTAL'!G86+'SS Total'!G87+Comms!G86+Fundraising!G86+'Proj Dev'!G85+Admin_Total!G86</f>
        <v>2225</v>
      </c>
      <c r="H86" s="25">
        <f>'Support Housing'!H86+'FC TOTAL'!H86+'SS Total'!H87+Comms!H86+Fundraising!H86+'Proj Dev'!H85+Admin_Total!H86</f>
        <v>2225</v>
      </c>
      <c r="I86" s="25">
        <f>'Support Housing'!I86+'FC TOTAL'!I86+'SS Total'!I87+Comms!I86+Fundraising!I86+'Proj Dev'!I85+Admin_Total!I86</f>
        <v>2475</v>
      </c>
      <c r="J86" s="25">
        <f>'Support Housing'!J86+'FC TOTAL'!J86+'SS Total'!J87+Comms!J86+Fundraising!J86+'Proj Dev'!J85+Admin_Total!J86</f>
        <v>2725</v>
      </c>
      <c r="K86" s="25">
        <f>'Support Housing'!K86+'FC TOTAL'!K86+'SS Total'!K87+Comms!K86+Fundraising!K86+'Proj Dev'!K85+Admin_Total!K86</f>
        <v>2800</v>
      </c>
      <c r="L86" s="25">
        <f>'Support Housing'!L86+'FC TOTAL'!L86+'SS Total'!L87+Comms!L86+Fundraising!L86+'Proj Dev'!L85+Admin_Total!L86</f>
        <v>2450</v>
      </c>
      <c r="M86" s="25">
        <f>'Support Housing'!M86+'FC TOTAL'!M86+'SS Total'!M87+Comms!M86+Fundraising!M86+'Proj Dev'!M85+Admin_Total!M86</f>
        <v>2300</v>
      </c>
      <c r="N86" s="25">
        <f>'Support Housing'!N86+'FC TOTAL'!N86+'SS Total'!N87+Comms!N86+Fundraising!N86+'Proj Dev'!N85+Admin_Total!N86</f>
        <v>2200</v>
      </c>
      <c r="O86" s="25">
        <f>'Support Housing'!O86+'FC TOTAL'!O86+'SS Total'!O87+Comms!O86+Fundraising!O86+'Proj Dev'!O85+Admin_Total!O86</f>
        <v>2125</v>
      </c>
      <c r="P86" s="25">
        <f t="shared" ref="P86:P104" si="13">SUM(D86:O86)</f>
        <v>29875</v>
      </c>
    </row>
    <row r="87" spans="1:16" x14ac:dyDescent="0.3">
      <c r="A87" s="26"/>
      <c r="B87" s="36" t="s">
        <v>69</v>
      </c>
      <c r="C87" s="25"/>
      <c r="D87" s="25">
        <f>'Support Housing'!D87+'FC TOTAL'!D87+'SS Total'!D88+Comms!D87+Fundraising!D87+'Proj Dev'!D86+Admin_Total!D87</f>
        <v>765</v>
      </c>
      <c r="E87" s="25">
        <f>'Support Housing'!E87+'FC TOTAL'!E87+'SS Total'!E88+Comms!E87+Fundraising!E87+'Proj Dev'!E86+Admin_Total!E87</f>
        <v>790</v>
      </c>
      <c r="F87" s="25">
        <f>'Support Housing'!F87+'FC TOTAL'!F87+'SS Total'!F88+Comms!F87+Fundraising!F87+'Proj Dev'!F86+Admin_Total!F87</f>
        <v>765</v>
      </c>
      <c r="G87" s="25">
        <f>'Support Housing'!G87+'FC TOTAL'!G87+'SS Total'!G88+Comms!G87+Fundraising!G87+'Proj Dev'!G86+Admin_Total!G87</f>
        <v>605</v>
      </c>
      <c r="H87" s="25">
        <f>'Support Housing'!H87+'FC TOTAL'!H87+'SS Total'!H88+Comms!H87+Fundraising!H87+'Proj Dev'!H86+Admin_Total!H87</f>
        <v>580</v>
      </c>
      <c r="I87" s="25">
        <f>'Support Housing'!I87+'FC TOTAL'!I87+'SS Total'!I88+Comms!I87+Fundraising!I87+'Proj Dev'!I86+Admin_Total!I87</f>
        <v>575</v>
      </c>
      <c r="J87" s="25">
        <f>'Support Housing'!J87+'FC TOTAL'!J87+'SS Total'!J88+Comms!J87+Fundraising!J87+'Proj Dev'!J86+Admin_Total!J87</f>
        <v>625</v>
      </c>
      <c r="K87" s="25">
        <f>'Support Housing'!K87+'FC TOTAL'!K87+'SS Total'!K88+Comms!K87+Fundraising!K87+'Proj Dev'!K86+Admin_Total!K87</f>
        <v>625</v>
      </c>
      <c r="L87" s="25">
        <f>'Support Housing'!L87+'FC TOTAL'!L87+'SS Total'!L88+Comms!L87+Fundraising!L87+'Proj Dev'!L86+Admin_Total!L87</f>
        <v>675</v>
      </c>
      <c r="M87" s="25">
        <f>'Support Housing'!M87+'FC TOTAL'!M87+'SS Total'!M88+Comms!M87+Fundraising!M87+'Proj Dev'!M86+Admin_Total!M87</f>
        <v>725</v>
      </c>
      <c r="N87" s="25">
        <f>'Support Housing'!N87+'FC TOTAL'!N87+'SS Total'!N88+Comms!N87+Fundraising!N87+'Proj Dev'!N86+Admin_Total!N87</f>
        <v>725</v>
      </c>
      <c r="O87" s="25">
        <f>'Support Housing'!O87+'FC TOTAL'!O87+'SS Total'!O88+Comms!O87+Fundraising!O87+'Proj Dev'!O86+Admin_Total!O87</f>
        <v>775</v>
      </c>
      <c r="P87" s="25">
        <f t="shared" si="13"/>
        <v>8230</v>
      </c>
    </row>
    <row r="88" spans="1:16" x14ac:dyDescent="0.3">
      <c r="A88" s="26"/>
      <c r="B88" s="36" t="s">
        <v>70</v>
      </c>
      <c r="C88" s="25"/>
      <c r="D88" s="25">
        <f>'Support Housing'!D88+'FC TOTAL'!D88+'SS Total'!D89+Comms!D88+Fundraising!D88+'Proj Dev'!D87+Admin_Total!D88</f>
        <v>1300</v>
      </c>
      <c r="E88" s="25">
        <f>'Support Housing'!E88+'FC TOTAL'!E88+'SS Total'!E89+Comms!E88+Fundraising!E88+'Proj Dev'!E87+Admin_Total!E88</f>
        <v>1200</v>
      </c>
      <c r="F88" s="25">
        <f>'Support Housing'!F88+'FC TOTAL'!F88+'SS Total'!F89+Comms!F88+Fundraising!F88+'Proj Dev'!F87+Admin_Total!F88</f>
        <v>1000</v>
      </c>
      <c r="G88" s="25">
        <f>'Support Housing'!G88+'FC TOTAL'!G88+'SS Total'!G89+Comms!G88+Fundraising!G88+'Proj Dev'!G87+Admin_Total!G88</f>
        <v>925</v>
      </c>
      <c r="H88" s="25">
        <f>'Support Housing'!H88+'FC TOTAL'!H88+'SS Total'!H89+Comms!H88+Fundraising!H88+'Proj Dev'!H87+Admin_Total!H88</f>
        <v>1300</v>
      </c>
      <c r="I88" s="25">
        <f>'Support Housing'!I88+'FC TOTAL'!I88+'SS Total'!I89+Comms!I88+Fundraising!I88+'Proj Dev'!I87+Admin_Total!I88</f>
        <v>1000</v>
      </c>
      <c r="J88" s="25">
        <f>'Support Housing'!J88+'FC TOTAL'!J88+'SS Total'!J89+Comms!J88+Fundraising!J88+'Proj Dev'!J87+Admin_Total!J88</f>
        <v>1025</v>
      </c>
      <c r="K88" s="25">
        <f>'Support Housing'!K88+'FC TOTAL'!K88+'SS Total'!K89+Comms!K88+Fundraising!K88+'Proj Dev'!K87+Admin_Total!K88</f>
        <v>1025</v>
      </c>
      <c r="L88" s="25">
        <f>'Support Housing'!L88+'FC TOTAL'!L88+'SS Total'!L89+Comms!L88+Fundraising!L88+'Proj Dev'!L87+Admin_Total!L88</f>
        <v>1075</v>
      </c>
      <c r="M88" s="25">
        <f>'Support Housing'!M88+'FC TOTAL'!M88+'SS Total'!M89+Comms!M88+Fundraising!M88+'Proj Dev'!M87+Admin_Total!M88</f>
        <v>1025</v>
      </c>
      <c r="N88" s="25">
        <f>'Support Housing'!N88+'FC TOTAL'!N88+'SS Total'!N89+Comms!N88+Fundraising!N88+'Proj Dev'!N87+Admin_Total!N88</f>
        <v>975</v>
      </c>
      <c r="O88" s="25">
        <f>'Support Housing'!O88+'FC TOTAL'!O88+'SS Total'!O89+Comms!O88+Fundraising!O88+'Proj Dev'!O87+Admin_Total!O88</f>
        <v>1025</v>
      </c>
      <c r="P88" s="25">
        <f t="shared" si="13"/>
        <v>12875</v>
      </c>
    </row>
    <row r="89" spans="1:16" x14ac:dyDescent="0.3">
      <c r="A89" s="26"/>
      <c r="B89" s="36" t="s">
        <v>71</v>
      </c>
      <c r="C89" s="25"/>
      <c r="D89" s="25">
        <f>'Support Housing'!D89+'FC TOTAL'!D89+'SS Total'!D90+Comms!D89+Fundraising!D89+'Proj Dev'!D88+Admin_Total!D89</f>
        <v>2891</v>
      </c>
      <c r="E89" s="25">
        <f>'Support Housing'!E89+'FC TOTAL'!E89+'SS Total'!E90+Comms!E89+Fundraising!E89+'Proj Dev'!E88+Admin_Total!E89</f>
        <v>2891</v>
      </c>
      <c r="F89" s="25">
        <f>'Support Housing'!F89+'FC TOTAL'!F89+'SS Total'!F90+Comms!F89+Fundraising!F89+'Proj Dev'!F88+Admin_Total!F89</f>
        <v>2891</v>
      </c>
      <c r="G89" s="25">
        <f>'Support Housing'!G89+'FC TOTAL'!G89+'SS Total'!G90+Comms!G89+Fundraising!G89+'Proj Dev'!G88+Admin_Total!G89</f>
        <v>2891</v>
      </c>
      <c r="H89" s="25">
        <f>'Support Housing'!H89+'FC TOTAL'!H89+'SS Total'!H90+Comms!H89+Fundraising!H89+'Proj Dev'!H88+Admin_Total!H89</f>
        <v>2891</v>
      </c>
      <c r="I89" s="25">
        <f>'Support Housing'!I89+'FC TOTAL'!I89+'SS Total'!I90+Comms!I89+Fundraising!I89+'Proj Dev'!I88+Admin_Total!I89</f>
        <v>2891</v>
      </c>
      <c r="J89" s="25">
        <f>'Support Housing'!J89+'FC TOTAL'!J89+'SS Total'!J90+Comms!J89+Fundraising!J89+'Proj Dev'!J88+Admin_Total!J89</f>
        <v>2891</v>
      </c>
      <c r="K89" s="25">
        <f>'Support Housing'!K89+'FC TOTAL'!K89+'SS Total'!K90+Comms!K89+Fundraising!K89+'Proj Dev'!K88+Admin_Total!K89</f>
        <v>2891</v>
      </c>
      <c r="L89" s="25">
        <f>'Support Housing'!L89+'FC TOTAL'!L89+'SS Total'!L90+Comms!L89+Fundraising!L89+'Proj Dev'!L88+Admin_Total!L89</f>
        <v>2891</v>
      </c>
      <c r="M89" s="25">
        <f>'Support Housing'!M89+'FC TOTAL'!M89+'SS Total'!M90+Comms!M89+Fundraising!M89+'Proj Dev'!M88+Admin_Total!M89</f>
        <v>2891</v>
      </c>
      <c r="N89" s="25">
        <f>'Support Housing'!N89+'FC TOTAL'!N89+'SS Total'!N90+Comms!N89+Fundraising!N89+'Proj Dev'!N88+Admin_Total!N89</f>
        <v>2891</v>
      </c>
      <c r="O89" s="25">
        <f>'Support Housing'!O89+'FC TOTAL'!O89+'SS Total'!O90+Comms!O89+Fundraising!O89+'Proj Dev'!O88+Admin_Total!O89</f>
        <v>2891</v>
      </c>
      <c r="P89" s="25">
        <f t="shared" si="13"/>
        <v>34692</v>
      </c>
    </row>
    <row r="90" spans="1:16" x14ac:dyDescent="0.3">
      <c r="A90" s="26"/>
      <c r="B90" s="36" t="s">
        <v>72</v>
      </c>
      <c r="C90" s="25"/>
      <c r="D90" s="25">
        <f>'Support Housing'!D90+'FC TOTAL'!D90+'SS Total'!D91+Comms!D90+Fundraising!D90+'Proj Dev'!D89+Admin_Total!D90</f>
        <v>0</v>
      </c>
      <c r="E90" s="25">
        <f>'Support Housing'!E90+'FC TOTAL'!E90+'SS Total'!E91+Comms!E90+Fundraising!E90+'Proj Dev'!E89+Admin_Total!E90</f>
        <v>0</v>
      </c>
      <c r="F90" s="25">
        <f>'Support Housing'!F90+'FC TOTAL'!F90+'SS Total'!F91+Comms!F90+Fundraising!F90+'Proj Dev'!F89+Admin_Total!F90</f>
        <v>0</v>
      </c>
      <c r="G90" s="25">
        <f>'Support Housing'!G90+'FC TOTAL'!G90+'SS Total'!G91+Comms!G90+Fundraising!G90+'Proj Dev'!G89+Admin_Total!G90</f>
        <v>0</v>
      </c>
      <c r="H90" s="25">
        <f>'Support Housing'!H90+'FC TOTAL'!H90+'SS Total'!H91+Comms!H90+Fundraising!H90+'Proj Dev'!H89+Admin_Total!H90</f>
        <v>0</v>
      </c>
      <c r="I90" s="25">
        <f>'Support Housing'!I90+'FC TOTAL'!I90+'SS Total'!I91+Comms!I90+Fundraising!I90+'Proj Dev'!I89+Admin_Total!I90</f>
        <v>0</v>
      </c>
      <c r="J90" s="25">
        <f>'Support Housing'!J90+'FC TOTAL'!J90+'SS Total'!J91+Comms!J90+Fundraising!J90+'Proj Dev'!J89+Admin_Total!J90</f>
        <v>0</v>
      </c>
      <c r="K90" s="25">
        <f>'Support Housing'!K90+'FC TOTAL'!K90+'SS Total'!K91+Comms!K90+Fundraising!K90+'Proj Dev'!K89+Admin_Total!K90</f>
        <v>0</v>
      </c>
      <c r="L90" s="25">
        <f>'Support Housing'!L90+'FC TOTAL'!L90+'SS Total'!L91+Comms!L90+Fundraising!L90+'Proj Dev'!L89+Admin_Total!L90</f>
        <v>0</v>
      </c>
      <c r="M90" s="25">
        <f>'Support Housing'!M90+'FC TOTAL'!M90+'SS Total'!M91+Comms!M90+Fundraising!M90+'Proj Dev'!M89+Admin_Total!M90</f>
        <v>0</v>
      </c>
      <c r="N90" s="25">
        <f>'Support Housing'!N90+'FC TOTAL'!N90+'SS Total'!N91+Comms!N90+Fundraising!N90+'Proj Dev'!N89+Admin_Total!N90</f>
        <v>0</v>
      </c>
      <c r="O90" s="25">
        <f>'Support Housing'!O90+'FC TOTAL'!O90+'SS Total'!O91+Comms!O90+Fundraising!O90+'Proj Dev'!O89+Admin_Total!O90</f>
        <v>0</v>
      </c>
      <c r="P90" s="25">
        <f t="shared" si="13"/>
        <v>0</v>
      </c>
    </row>
    <row r="91" spans="1:16" x14ac:dyDescent="0.3">
      <c r="A91" s="26"/>
      <c r="B91" s="36" t="s">
        <v>73</v>
      </c>
      <c r="C91" s="25"/>
      <c r="D91" s="25">
        <f>'Support Housing'!D91+'FC TOTAL'!D91+'SS Total'!D92+Comms!D91+Fundraising!D91+'Proj Dev'!D90+Admin_Total!D91</f>
        <v>0</v>
      </c>
      <c r="E91" s="25">
        <f>'Support Housing'!E91+'FC TOTAL'!E91+'SS Total'!E92+Comms!E91+Fundraising!E91+'Proj Dev'!E90+Admin_Total!E91</f>
        <v>0</v>
      </c>
      <c r="F91" s="25">
        <f>'Support Housing'!F91+'FC TOTAL'!F91+'SS Total'!F92+Comms!F91+Fundraising!F91+'Proj Dev'!F90+Admin_Total!F91</f>
        <v>0</v>
      </c>
      <c r="G91" s="25">
        <f>'Support Housing'!G91+'FC TOTAL'!G91+'SS Total'!G92+Comms!G91+Fundraising!G91+'Proj Dev'!G90+Admin_Total!G91</f>
        <v>0</v>
      </c>
      <c r="H91" s="25">
        <f>'Support Housing'!H91+'FC TOTAL'!H91+'SS Total'!H92+Comms!H91+Fundraising!H91+'Proj Dev'!H90+Admin_Total!H91</f>
        <v>0</v>
      </c>
      <c r="I91" s="25">
        <f>'Support Housing'!I91+'FC TOTAL'!I91+'SS Total'!I92+Comms!I91+Fundraising!I91+'Proj Dev'!I90+Admin_Total!I91</f>
        <v>0</v>
      </c>
      <c r="J91" s="25">
        <f>'Support Housing'!J91+'FC TOTAL'!J91+'SS Total'!J92+Comms!J91+Fundraising!J91+'Proj Dev'!J90+Admin_Total!J91</f>
        <v>0</v>
      </c>
      <c r="K91" s="25">
        <f>'Support Housing'!K91+'FC TOTAL'!K91+'SS Total'!K92+Comms!K91+Fundraising!K91+'Proj Dev'!K90+Admin_Total!K91</f>
        <v>0</v>
      </c>
      <c r="L91" s="25">
        <f>'Support Housing'!L91+'FC TOTAL'!L91+'SS Total'!L92+Comms!L91+Fundraising!L91+'Proj Dev'!L90+Admin_Total!L91</f>
        <v>0</v>
      </c>
      <c r="M91" s="25">
        <f>'Support Housing'!M91+'FC TOTAL'!M91+'SS Total'!M92+Comms!M91+Fundraising!M91+'Proj Dev'!M90+Admin_Total!M91</f>
        <v>0</v>
      </c>
      <c r="N91" s="25">
        <f>'Support Housing'!N91+'FC TOTAL'!N91+'SS Total'!N92+Comms!N91+Fundraising!N91+'Proj Dev'!N90+Admin_Total!N91</f>
        <v>0</v>
      </c>
      <c r="O91" s="25">
        <f>'Support Housing'!O91+'FC TOTAL'!O91+'SS Total'!O92+Comms!O91+Fundraising!O91+'Proj Dev'!O90+Admin_Total!O91</f>
        <v>0</v>
      </c>
      <c r="P91" s="25">
        <f t="shared" si="13"/>
        <v>0</v>
      </c>
    </row>
    <row r="92" spans="1:16" x14ac:dyDescent="0.3">
      <c r="A92" s="26"/>
      <c r="B92" s="36" t="s">
        <v>74</v>
      </c>
      <c r="C92" s="25"/>
      <c r="D92" s="25">
        <f>'Support Housing'!D92+'FC TOTAL'!D92+'SS Total'!D93+Comms!D92+Fundraising!D92+'Proj Dev'!D91+Admin_Total!D92</f>
        <v>150</v>
      </c>
      <c r="E92" s="25">
        <f>'Support Housing'!E92+'FC TOTAL'!E92+'SS Total'!E93+Comms!E92+Fundraising!E92+'Proj Dev'!E91+Admin_Total!E92</f>
        <v>150</v>
      </c>
      <c r="F92" s="25">
        <f>'Support Housing'!F92+'FC TOTAL'!F92+'SS Total'!F93+Comms!F92+Fundraising!F92+'Proj Dev'!F91+Admin_Total!F92</f>
        <v>150</v>
      </c>
      <c r="G92" s="25">
        <f>'Support Housing'!G92+'FC TOTAL'!G92+'SS Total'!G93+Comms!G92+Fundraising!G92+'Proj Dev'!G91+Admin_Total!G92</f>
        <v>150</v>
      </c>
      <c r="H92" s="25">
        <f>'Support Housing'!H92+'FC TOTAL'!H92+'SS Total'!H93+Comms!H92+Fundraising!H92+'Proj Dev'!H91+Admin_Total!H92</f>
        <v>150</v>
      </c>
      <c r="I92" s="25">
        <f>'Support Housing'!I92+'FC TOTAL'!I92+'SS Total'!I93+Comms!I92+Fundraising!I92+'Proj Dev'!I91+Admin_Total!I92</f>
        <v>150</v>
      </c>
      <c r="J92" s="25">
        <f>'Support Housing'!J92+'FC TOTAL'!J92+'SS Total'!J93+Comms!J92+Fundraising!J92+'Proj Dev'!J91+Admin_Total!J92</f>
        <v>150</v>
      </c>
      <c r="K92" s="25">
        <f>'Support Housing'!K92+'FC TOTAL'!K92+'SS Total'!K93+Comms!K92+Fundraising!K92+'Proj Dev'!K91+Admin_Total!K92</f>
        <v>150</v>
      </c>
      <c r="L92" s="25">
        <f>'Support Housing'!L92+'FC TOTAL'!L92+'SS Total'!L93+Comms!L92+Fundraising!L92+'Proj Dev'!L91+Admin_Total!L92</f>
        <v>150</v>
      </c>
      <c r="M92" s="25">
        <f>'Support Housing'!M92+'FC TOTAL'!M92+'SS Total'!M93+Comms!M92+Fundraising!M92+'Proj Dev'!M91+Admin_Total!M92</f>
        <v>150</v>
      </c>
      <c r="N92" s="25">
        <f>'Support Housing'!N92+'FC TOTAL'!N92+'SS Total'!N93+Comms!N92+Fundraising!N92+'Proj Dev'!N91+Admin_Total!N92</f>
        <v>150</v>
      </c>
      <c r="O92" s="25">
        <f>'Support Housing'!O92+'FC TOTAL'!O92+'SS Total'!O93+Comms!O92+Fundraising!O92+'Proj Dev'!O91+Admin_Total!O92</f>
        <v>150</v>
      </c>
      <c r="P92" s="25">
        <f t="shared" si="13"/>
        <v>1800</v>
      </c>
    </row>
    <row r="93" spans="1:16" x14ac:dyDescent="0.3">
      <c r="A93" s="26"/>
      <c r="B93" s="36" t="s">
        <v>75</v>
      </c>
      <c r="C93" s="25"/>
      <c r="D93" s="43">
        <f>'Support Housing'!D93+'FC TOTAL'!D93+'SS Total'!D94+Comms!D93+Fundraising!D93+'Proj Dev'!D92+Admin_Total!D93</f>
        <v>31534</v>
      </c>
      <c r="E93" s="25">
        <f>'Support Housing'!E93+'FC TOTAL'!E93+'SS Total'!E94+Comms!E93+Fundraising!E93+'Proj Dev'!E92+Admin_Total!E93</f>
        <v>31534</v>
      </c>
      <c r="F93" s="25">
        <f>'Support Housing'!F93+'FC TOTAL'!F93+'SS Total'!F94+Comms!F93+Fundraising!F93+'Proj Dev'!F92+Admin_Total!F93</f>
        <v>31534</v>
      </c>
      <c r="G93" s="25">
        <f>'Support Housing'!G93+'FC TOTAL'!G93+'SS Total'!G94+Comms!G93+Fundraising!G93+'Proj Dev'!G92+Admin_Total!G93</f>
        <v>31534</v>
      </c>
      <c r="H93" s="25">
        <f>'Support Housing'!H93+'FC TOTAL'!H93+'SS Total'!H94+Comms!H93+Fundraising!H93+'Proj Dev'!H92+Admin_Total!H93</f>
        <v>31534</v>
      </c>
      <c r="I93" s="25">
        <f>'Support Housing'!I93+'FC TOTAL'!I93+'SS Total'!I94+Comms!I93+Fundraising!I93+'Proj Dev'!I92+Admin_Total!I93</f>
        <v>31534</v>
      </c>
      <c r="J93" s="25">
        <f>'Support Housing'!J93+'FC TOTAL'!J93+'SS Total'!J94+Comms!J93+Fundraising!J93+'Proj Dev'!J92+Admin_Total!J93</f>
        <v>31534</v>
      </c>
      <c r="K93" s="25">
        <f>'Support Housing'!K93+'FC TOTAL'!K93+'SS Total'!K94+Comms!K93+Fundraising!K93+'Proj Dev'!K92+Admin_Total!K93</f>
        <v>31534</v>
      </c>
      <c r="L93" s="25">
        <f>'Support Housing'!L93+'FC TOTAL'!L93+'SS Total'!L94+Comms!L93+Fundraising!L93+'Proj Dev'!L92+Admin_Total!L93</f>
        <v>31534</v>
      </c>
      <c r="M93" s="25">
        <f>'Support Housing'!M93+'FC TOTAL'!M93+'SS Total'!M94+Comms!M93+Fundraising!M93+'Proj Dev'!M92+Admin_Total!M93</f>
        <v>31534</v>
      </c>
      <c r="N93" s="25">
        <f>'Support Housing'!N93+'FC TOTAL'!N93+'SS Total'!N94+Comms!N93+Fundraising!N93+'Proj Dev'!N92+Admin_Total!N93</f>
        <v>31534</v>
      </c>
      <c r="O93" s="25">
        <f>'Support Housing'!O93+'FC TOTAL'!O93+'SS Total'!O94+Comms!O93+Fundraising!O93+'Proj Dev'!O92+Admin_Total!O93</f>
        <v>31534</v>
      </c>
      <c r="P93" s="25">
        <f t="shared" si="13"/>
        <v>378408</v>
      </c>
    </row>
    <row r="94" spans="1:16" x14ac:dyDescent="0.3">
      <c r="A94" s="26"/>
      <c r="B94" s="36" t="s">
        <v>76</v>
      </c>
      <c r="C94" s="25"/>
      <c r="D94" s="43">
        <f>'Support Housing'!D94+'FC TOTAL'!D94+'SS Total'!D95+Comms!D94+Fundraising!D94+'Proj Dev'!D93+Admin_Total!D94</f>
        <v>480</v>
      </c>
      <c r="E94" s="43">
        <f>'Support Housing'!E94+'FC TOTAL'!E94+'SS Total'!E95+Comms!E94+Fundraising!E94+'Proj Dev'!E93+Admin_Total!E94</f>
        <v>480</v>
      </c>
      <c r="F94" s="43">
        <f>'Support Housing'!F94+'FC TOTAL'!F94+'SS Total'!F95+Comms!F94+Fundraising!F94+'Proj Dev'!F93+Admin_Total!F94</f>
        <v>480</v>
      </c>
      <c r="G94" s="43">
        <f>'Support Housing'!G94+'FC TOTAL'!G94+'SS Total'!G95+Comms!G94+Fundraising!G94+'Proj Dev'!G93+Admin_Total!G94</f>
        <v>480</v>
      </c>
      <c r="H94" s="43">
        <f>'Support Housing'!H94+'FC TOTAL'!H94+'SS Total'!H95+Comms!H94+Fundraising!H94+'Proj Dev'!H93+Admin_Total!H94</f>
        <v>480</v>
      </c>
      <c r="I94" s="43">
        <f>'Support Housing'!I94+'FC TOTAL'!I94+'SS Total'!I95+Comms!I94+Fundraising!I94+'Proj Dev'!I93+Admin_Total!I94</f>
        <v>480</v>
      </c>
      <c r="J94" s="43">
        <f>'Support Housing'!J94+'FC TOTAL'!J94+'SS Total'!J95+Comms!J94+Fundraising!J94+'Proj Dev'!J93+Admin_Total!J94</f>
        <v>480</v>
      </c>
      <c r="K94" s="43">
        <f>'Support Housing'!K94+'FC TOTAL'!K94+'SS Total'!K95+Comms!K94+Fundraising!K94+'Proj Dev'!K93+Admin_Total!K94</f>
        <v>480</v>
      </c>
      <c r="L94" s="43">
        <f>'Support Housing'!L94+'FC TOTAL'!L94+'SS Total'!L95+Comms!L94+Fundraising!L94+'Proj Dev'!L93+Admin_Total!L94</f>
        <v>480</v>
      </c>
      <c r="M94" s="43">
        <f>'Support Housing'!M94+'FC TOTAL'!M94+'SS Total'!M95+Comms!M94+Fundraising!M94+'Proj Dev'!M93+Admin_Total!M94</f>
        <v>480</v>
      </c>
      <c r="N94" s="43">
        <f>'Support Housing'!N94+'FC TOTAL'!N94+'SS Total'!N95+Comms!N94+Fundraising!N94+'Proj Dev'!N93+Admin_Total!N94</f>
        <v>480</v>
      </c>
      <c r="O94" s="43">
        <f>'Support Housing'!O94+'FC TOTAL'!O94+'SS Total'!O95+Comms!O94+Fundraising!O94+'Proj Dev'!O93+Admin_Total!O94</f>
        <v>480</v>
      </c>
      <c r="P94" s="25">
        <f t="shared" si="13"/>
        <v>5760</v>
      </c>
    </row>
    <row r="95" spans="1:16" x14ac:dyDescent="0.3">
      <c r="A95" s="26"/>
      <c r="B95" s="36" t="s">
        <v>77</v>
      </c>
      <c r="C95" s="25"/>
      <c r="D95" s="25">
        <f>'Support Housing'!D95+'FC TOTAL'!D95+'SS Total'!D96+Comms!D95+Fundraising!D95+'Proj Dev'!D94+Admin_Total!D95</f>
        <v>0</v>
      </c>
      <c r="E95" s="25">
        <f>'Support Housing'!E95+'FC TOTAL'!E95+'SS Total'!E96+Comms!E95+Fundraising!E95+'Proj Dev'!E94+Admin_Total!E95</f>
        <v>0</v>
      </c>
      <c r="F95" s="25">
        <f>'Support Housing'!F95+'FC TOTAL'!F95+'SS Total'!F96+Comms!F95+Fundraising!F95+'Proj Dev'!F94+Admin_Total!F95</f>
        <v>0</v>
      </c>
      <c r="G95" s="25">
        <f>'Support Housing'!G95+'FC TOTAL'!G95+'SS Total'!G96+Comms!G95+Fundraising!G95+'Proj Dev'!G94+Admin_Total!G95</f>
        <v>0</v>
      </c>
      <c r="H95" s="25">
        <f>'Support Housing'!H95+'FC TOTAL'!H95+'SS Total'!H96+Comms!H95+Fundraising!H95+'Proj Dev'!H94+Admin_Total!H95</f>
        <v>0</v>
      </c>
      <c r="I95" s="25">
        <f>'Support Housing'!I95+'FC TOTAL'!I95+'SS Total'!I96+Comms!I95+Fundraising!I95+'Proj Dev'!I94+Admin_Total!I95</f>
        <v>0</v>
      </c>
      <c r="J95" s="25">
        <f>'Support Housing'!J95+'FC TOTAL'!J95+'SS Total'!J96+Comms!J95+Fundraising!J95+'Proj Dev'!J94+Admin_Total!J95</f>
        <v>0</v>
      </c>
      <c r="K95" s="25">
        <f>'Support Housing'!K95+'FC TOTAL'!K95+'SS Total'!K96+Comms!K95+Fundraising!K95+'Proj Dev'!K94+Admin_Total!K95</f>
        <v>0</v>
      </c>
      <c r="L95" s="25">
        <f>'Support Housing'!L95+'FC TOTAL'!L95+'SS Total'!L96+Comms!L95+Fundraising!L95+'Proj Dev'!L94+Admin_Total!L95</f>
        <v>0</v>
      </c>
      <c r="M95" s="25">
        <f>'Support Housing'!M95+'FC TOTAL'!M95+'SS Total'!M96+Comms!M95+Fundraising!M95+'Proj Dev'!M94+Admin_Total!M95</f>
        <v>0</v>
      </c>
      <c r="N95" s="25">
        <f>'Support Housing'!N95+'FC TOTAL'!N95+'SS Total'!N96+Comms!N95+Fundraising!N95+'Proj Dev'!N94+Admin_Total!N95</f>
        <v>0</v>
      </c>
      <c r="O95" s="25">
        <f>'Support Housing'!O95+'FC TOTAL'!O95+'SS Total'!O96+Comms!O95+Fundraising!O95+'Proj Dev'!O94+Admin_Total!O95</f>
        <v>0</v>
      </c>
      <c r="P95" s="25">
        <f t="shared" si="13"/>
        <v>0</v>
      </c>
    </row>
    <row r="96" spans="1:16" x14ac:dyDescent="0.3">
      <c r="A96" s="26"/>
      <c r="B96" s="36" t="s">
        <v>78</v>
      </c>
      <c r="C96" s="25"/>
      <c r="D96" s="25">
        <f>'Support Housing'!D96+'FC TOTAL'!D96+'SS Total'!D97+Comms!D96+Fundraising!D96+'Proj Dev'!D95+Admin_Total!D96</f>
        <v>0</v>
      </c>
      <c r="E96" s="25">
        <f>'Support Housing'!E96+'FC TOTAL'!E96+'SS Total'!E97+Comms!E96+Fundraising!E96+'Proj Dev'!E95+Admin_Total!E96</f>
        <v>0</v>
      </c>
      <c r="F96" s="25">
        <f>'Support Housing'!F96+'FC TOTAL'!F96+'SS Total'!F97+Comms!F96+Fundraising!F96+'Proj Dev'!F95+Admin_Total!F96</f>
        <v>0</v>
      </c>
      <c r="G96" s="25">
        <f>'Support Housing'!G96+'FC TOTAL'!G96+'SS Total'!G97+Comms!G96+Fundraising!G96+'Proj Dev'!G95+Admin_Total!G96</f>
        <v>0</v>
      </c>
      <c r="H96" s="25">
        <f>'Support Housing'!H96+'FC TOTAL'!H96+'SS Total'!H97+Comms!H96+Fundraising!H96+'Proj Dev'!H95+Admin_Total!H96</f>
        <v>0</v>
      </c>
      <c r="I96" s="25">
        <f>'Support Housing'!I96+'FC TOTAL'!I96+'SS Total'!I97+Comms!I96+Fundraising!I96+'Proj Dev'!I95+Admin_Total!I96</f>
        <v>0</v>
      </c>
      <c r="J96" s="25">
        <f>'Support Housing'!J96+'FC TOTAL'!J96+'SS Total'!J97+Comms!J96+Fundraising!J96+'Proj Dev'!J95+Admin_Total!J96</f>
        <v>0</v>
      </c>
      <c r="K96" s="25">
        <f>'Support Housing'!K96+'FC TOTAL'!K96+'SS Total'!K97+Comms!K96+Fundraising!K96+'Proj Dev'!K95+Admin_Total!K96</f>
        <v>0</v>
      </c>
      <c r="L96" s="25">
        <f>'Support Housing'!L96+'FC TOTAL'!L96+'SS Total'!L97+Comms!L96+Fundraising!L96+'Proj Dev'!L95+Admin_Total!L96</f>
        <v>0</v>
      </c>
      <c r="M96" s="25">
        <f>'Support Housing'!M96+'FC TOTAL'!M96+'SS Total'!M97+Comms!M96+Fundraising!M96+'Proj Dev'!M95+Admin_Total!M96</f>
        <v>0</v>
      </c>
      <c r="N96" s="25">
        <f>'Support Housing'!N96+'FC TOTAL'!N96+'SS Total'!N97+Comms!N96+Fundraising!N96+'Proj Dev'!N95+Admin_Total!N96</f>
        <v>0</v>
      </c>
      <c r="O96" s="25">
        <f>'Support Housing'!O96+'FC TOTAL'!O96+'SS Total'!O97+Comms!O96+Fundraising!O96+'Proj Dev'!O95+Admin_Total!O96</f>
        <v>0</v>
      </c>
      <c r="P96" s="25">
        <f t="shared" si="13"/>
        <v>0</v>
      </c>
    </row>
    <row r="97" spans="1:16" x14ac:dyDescent="0.3">
      <c r="A97" s="26"/>
      <c r="B97" s="36" t="s">
        <v>79</v>
      </c>
      <c r="C97" s="25"/>
      <c r="D97" s="25">
        <f>'Support Housing'!D97+'FC TOTAL'!D97+'SS Total'!D98+Comms!D97+Fundraising!D97+'Proj Dev'!D96+Admin_Total!D97</f>
        <v>2250</v>
      </c>
      <c r="E97" s="25">
        <f>'Support Housing'!E97+'FC TOTAL'!E97+'SS Total'!E98+Comms!E97+Fundraising!E97+'Proj Dev'!E96+Admin_Total!E97</f>
        <v>2250</v>
      </c>
      <c r="F97" s="25">
        <f>'Support Housing'!F97+'FC TOTAL'!F97+'SS Total'!F98+Comms!F97+Fundraising!F97+'Proj Dev'!F96+Admin_Total!F97</f>
        <v>2250</v>
      </c>
      <c r="G97" s="25">
        <f>'Support Housing'!G97+'FC TOTAL'!G97+'SS Total'!G98+Comms!G97+Fundraising!G97+'Proj Dev'!G96+Admin_Total!G97</f>
        <v>2100</v>
      </c>
      <c r="H97" s="25">
        <f>'Support Housing'!H97+'FC TOTAL'!H97+'SS Total'!H98+Comms!H97+Fundraising!H97+'Proj Dev'!H96+Admin_Total!H97</f>
        <v>2100</v>
      </c>
      <c r="I97" s="25">
        <f>'Support Housing'!I97+'FC TOTAL'!I97+'SS Total'!I98+Comms!I97+Fundraising!I97+'Proj Dev'!I96+Admin_Total!I97</f>
        <v>2100</v>
      </c>
      <c r="J97" s="25">
        <f>'Support Housing'!J97+'FC TOTAL'!J97+'SS Total'!J98+Comms!J97+Fundraising!J97+'Proj Dev'!J96+Admin_Total!J97</f>
        <v>2100</v>
      </c>
      <c r="K97" s="25">
        <f>'Support Housing'!K97+'FC TOTAL'!K97+'SS Total'!K98+Comms!K97+Fundraising!K97+'Proj Dev'!K96+Admin_Total!K97</f>
        <v>2100</v>
      </c>
      <c r="L97" s="25">
        <f>'Support Housing'!L97+'FC TOTAL'!L97+'SS Total'!L98+Comms!L97+Fundraising!L97+'Proj Dev'!L96+Admin_Total!L97</f>
        <v>2100</v>
      </c>
      <c r="M97" s="25">
        <f>'Support Housing'!M97+'FC TOTAL'!M97+'SS Total'!M98+Comms!M97+Fundraising!M97+'Proj Dev'!M96+Admin_Total!M97</f>
        <v>2100</v>
      </c>
      <c r="N97" s="25">
        <f>'Support Housing'!N97+'FC TOTAL'!N97+'SS Total'!N98+Comms!N97+Fundraising!N97+'Proj Dev'!N96+Admin_Total!N97</f>
        <v>2100</v>
      </c>
      <c r="O97" s="25">
        <f>'Support Housing'!O97+'FC TOTAL'!O97+'SS Total'!O98+Comms!O97+Fundraising!O97+'Proj Dev'!O96+Admin_Total!O97</f>
        <v>2100</v>
      </c>
      <c r="P97" s="25">
        <f t="shared" si="13"/>
        <v>25650</v>
      </c>
    </row>
    <row r="98" spans="1:16" x14ac:dyDescent="0.3">
      <c r="A98" s="26"/>
      <c r="B98" s="36" t="s">
        <v>80</v>
      </c>
      <c r="C98" s="25"/>
      <c r="D98" s="25">
        <f>'Support Housing'!D98+'FC TOTAL'!D98+'SS Total'!D99+Comms!D98+Fundraising!D98+'Proj Dev'!D97+Admin_Total!D98</f>
        <v>3028</v>
      </c>
      <c r="E98" s="25">
        <f>'Support Housing'!E98+'FC TOTAL'!E98+'SS Total'!E99+Comms!E98+Fundraising!E98+'Proj Dev'!E97+Admin_Total!E98</f>
        <v>3028</v>
      </c>
      <c r="F98" s="25">
        <f>'Support Housing'!F98+'FC TOTAL'!F98+'SS Total'!F99+Comms!F98+Fundraising!F98+'Proj Dev'!F97+Admin_Total!F98</f>
        <v>3028</v>
      </c>
      <c r="G98" s="25">
        <f>'Support Housing'!G98+'FC TOTAL'!G98+'SS Total'!G99+Comms!G98+Fundraising!G98+'Proj Dev'!G97+Admin_Total!G98</f>
        <v>3028</v>
      </c>
      <c r="H98" s="25">
        <f>'Support Housing'!H98+'FC TOTAL'!H98+'SS Total'!H99+Comms!H98+Fundraising!H98+'Proj Dev'!H97+Admin_Total!H98</f>
        <v>3028</v>
      </c>
      <c r="I98" s="25">
        <f>'Support Housing'!I98+'FC TOTAL'!I98+'SS Total'!I99+Comms!I98+Fundraising!I98+'Proj Dev'!I97+Admin_Total!I98</f>
        <v>3028</v>
      </c>
      <c r="J98" s="25">
        <f>'Support Housing'!J98+'FC TOTAL'!J98+'SS Total'!J99+Comms!J98+Fundraising!J98+'Proj Dev'!J97+Admin_Total!J98</f>
        <v>3028</v>
      </c>
      <c r="K98" s="25">
        <f>'Support Housing'!K98+'FC TOTAL'!K98+'SS Total'!K99+Comms!K98+Fundraising!K98+'Proj Dev'!K97+Admin_Total!K98</f>
        <v>3118.84</v>
      </c>
      <c r="L98" s="25">
        <f>'Support Housing'!L98+'FC TOTAL'!L98+'SS Total'!L99+Comms!L98+Fundraising!L98+'Proj Dev'!L97+Admin_Total!L98</f>
        <v>3118.84</v>
      </c>
      <c r="M98" s="25">
        <f>'Support Housing'!M98+'FC TOTAL'!M98+'SS Total'!M99+Comms!M98+Fundraising!M98+'Proj Dev'!M97+Admin_Total!M98</f>
        <v>3118.84</v>
      </c>
      <c r="N98" s="25">
        <f>'Support Housing'!N98+'FC TOTAL'!N98+'SS Total'!N99+Comms!N98+Fundraising!N98+'Proj Dev'!N97+Admin_Total!N98</f>
        <v>3118.84</v>
      </c>
      <c r="O98" s="25">
        <f>'Support Housing'!O98+'FC TOTAL'!O98+'SS Total'!O99+Comms!O98+Fundraising!O98+'Proj Dev'!O97+Admin_Total!O98</f>
        <v>3118.84</v>
      </c>
      <c r="P98" s="25">
        <f t="shared" si="13"/>
        <v>36790.199999999997</v>
      </c>
    </row>
    <row r="99" spans="1:16" x14ac:dyDescent="0.3">
      <c r="A99" s="26"/>
      <c r="B99" s="36" t="s">
        <v>81</v>
      </c>
      <c r="C99" s="25"/>
      <c r="D99" s="25">
        <f>'Support Housing'!D99+'FC TOTAL'!D99+'SS Total'!D100+Comms!D99+Fundraising!D99+'Proj Dev'!D98+Admin_Total!D99</f>
        <v>300</v>
      </c>
      <c r="E99" s="25">
        <f>'Support Housing'!E99+'FC TOTAL'!E99+'SS Total'!E100+Comms!E99+Fundraising!E99+'Proj Dev'!E98+Admin_Total!E99</f>
        <v>300</v>
      </c>
      <c r="F99" s="25">
        <f>'Support Housing'!F99+'FC TOTAL'!F99+'SS Total'!F100+Comms!F99+Fundraising!F99+'Proj Dev'!F98+Admin_Total!F99</f>
        <v>300</v>
      </c>
      <c r="G99" s="25">
        <f>'Support Housing'!G99+'FC TOTAL'!G99+'SS Total'!G100+Comms!G99+Fundraising!G99+'Proj Dev'!G98+Admin_Total!G99</f>
        <v>300</v>
      </c>
      <c r="H99" s="25">
        <f>'Support Housing'!H99+'FC TOTAL'!H99+'SS Total'!H100+Comms!H99+Fundraising!H99+'Proj Dev'!H98+Admin_Total!H99</f>
        <v>300</v>
      </c>
      <c r="I99" s="25">
        <f>'Support Housing'!I99+'FC TOTAL'!I99+'SS Total'!I100+Comms!I99+Fundraising!I99+'Proj Dev'!I98+Admin_Total!I99</f>
        <v>300</v>
      </c>
      <c r="J99" s="25">
        <f>'Support Housing'!J99+'FC TOTAL'!J99+'SS Total'!J100+Comms!J99+Fundraising!J99+'Proj Dev'!J98+Admin_Total!J99</f>
        <v>300</v>
      </c>
      <c r="K99" s="25">
        <f>'Support Housing'!K99+'FC TOTAL'!K99+'SS Total'!K100+Comms!K99+Fundraising!K99+'Proj Dev'!K98+Admin_Total!K99</f>
        <v>300</v>
      </c>
      <c r="L99" s="25">
        <f>'Support Housing'!L99+'FC TOTAL'!L99+'SS Total'!L100+Comms!L99+Fundraising!L99+'Proj Dev'!L98+Admin_Total!L99</f>
        <v>300</v>
      </c>
      <c r="M99" s="25">
        <f>'Support Housing'!M99+'FC TOTAL'!M99+'SS Total'!M100+Comms!M99+Fundraising!M99+'Proj Dev'!M98+Admin_Total!M99</f>
        <v>300</v>
      </c>
      <c r="N99" s="25">
        <f>'Support Housing'!N99+'FC TOTAL'!N99+'SS Total'!N100+Comms!N99+Fundraising!N99+'Proj Dev'!N98+Admin_Total!N99</f>
        <v>300</v>
      </c>
      <c r="O99" s="25">
        <f>'Support Housing'!O99+'FC TOTAL'!O99+'SS Total'!O100+Comms!O99+Fundraising!O99+'Proj Dev'!O98+Admin_Total!O99</f>
        <v>300</v>
      </c>
      <c r="P99" s="25">
        <f t="shared" si="13"/>
        <v>3600</v>
      </c>
    </row>
    <row r="100" spans="1:16" x14ac:dyDescent="0.3">
      <c r="A100" s="26"/>
      <c r="B100" s="36" t="s">
        <v>82</v>
      </c>
      <c r="C100" s="25"/>
      <c r="D100" s="25">
        <f>'Support Housing'!D100+'FC TOTAL'!D100+'SS Total'!D101+Comms!D100+Fundraising!D100+'Proj Dev'!D99+Admin_Total!D100</f>
        <v>0</v>
      </c>
      <c r="E100" s="25">
        <f>'Support Housing'!E100+'FC TOTAL'!E100+'SS Total'!E101+Comms!E100+Fundraising!E100+'Proj Dev'!E99+Admin_Total!E100</f>
        <v>0</v>
      </c>
      <c r="F100" s="25">
        <f>'Support Housing'!F100+'FC TOTAL'!F100+'SS Total'!F101+Comms!F100+Fundraising!F100+'Proj Dev'!F99+Admin_Total!F100</f>
        <v>0</v>
      </c>
      <c r="G100" s="25">
        <f>'Support Housing'!G100+'FC TOTAL'!G100+'SS Total'!G101+Comms!G100+Fundraising!G100+'Proj Dev'!G99+Admin_Total!G100</f>
        <v>1200</v>
      </c>
      <c r="H100" s="25">
        <f>'Support Housing'!H100+'FC TOTAL'!H100+'SS Total'!H101+Comms!H100+Fundraising!H100+'Proj Dev'!H99+Admin_Total!H100</f>
        <v>0</v>
      </c>
      <c r="I100" s="25">
        <f>'Support Housing'!I100+'FC TOTAL'!I100+'SS Total'!I101+Comms!I100+Fundraising!I100+'Proj Dev'!I99+Admin_Total!I100</f>
        <v>0</v>
      </c>
      <c r="J100" s="25">
        <f>'Support Housing'!J100+'FC TOTAL'!J100+'SS Total'!J101+Comms!J100+Fundraising!J100+'Proj Dev'!J99+Admin_Total!J100</f>
        <v>0</v>
      </c>
      <c r="K100" s="25">
        <f>'Support Housing'!K100+'FC TOTAL'!K100+'SS Total'!K101+Comms!K100+Fundraising!K100+'Proj Dev'!K99+Admin_Total!K100</f>
        <v>0</v>
      </c>
      <c r="L100" s="25">
        <f>'Support Housing'!L100+'FC TOTAL'!L100+'SS Total'!L101+Comms!L100+Fundraising!L100+'Proj Dev'!L99+Admin_Total!L100</f>
        <v>0</v>
      </c>
      <c r="M100" s="25">
        <f>'Support Housing'!M100+'FC TOTAL'!M100+'SS Total'!M101+Comms!M100+Fundraising!M100+'Proj Dev'!M99+Admin_Total!M100</f>
        <v>0</v>
      </c>
      <c r="N100" s="25">
        <f>'Support Housing'!N100+'FC TOTAL'!N100+'SS Total'!N101+Comms!N100+Fundraising!N100+'Proj Dev'!N99+Admin_Total!N100</f>
        <v>0</v>
      </c>
      <c r="O100" s="25">
        <f>'Support Housing'!O100+'FC TOTAL'!O100+'SS Total'!O101+Comms!O100+Fundraising!O100+'Proj Dev'!O99+Admin_Total!O100</f>
        <v>0</v>
      </c>
      <c r="P100" s="25">
        <f t="shared" si="13"/>
        <v>1200</v>
      </c>
    </row>
    <row r="101" spans="1:16" x14ac:dyDescent="0.3">
      <c r="A101" s="26"/>
      <c r="B101" s="36" t="s">
        <v>83</v>
      </c>
      <c r="C101" s="25"/>
      <c r="D101" s="25">
        <f>'Support Housing'!D101+'FC TOTAL'!D101+'SS Total'!D102+Comms!D101+Fundraising!D101+'Proj Dev'!D100+Admin_Total!D101</f>
        <v>105000</v>
      </c>
      <c r="E101" s="25">
        <f>'Support Housing'!E101+'FC TOTAL'!E101+'SS Total'!E102+Comms!E101+Fundraising!E101+'Proj Dev'!E100+Admin_Total!E101</f>
        <v>0</v>
      </c>
      <c r="F101" s="25">
        <f>'Support Housing'!F101+'FC TOTAL'!F101+'SS Total'!F102+Comms!F101+Fundraising!F101+'Proj Dev'!F100+Admin_Total!F101</f>
        <v>0</v>
      </c>
      <c r="G101" s="25">
        <f>'Support Housing'!G101+'FC TOTAL'!G101+'SS Total'!G102+Comms!G101+Fundraising!G101+'Proj Dev'!G100+Admin_Total!G101</f>
        <v>0</v>
      </c>
      <c r="H101" s="25">
        <f>'Support Housing'!H101+'FC TOTAL'!H101+'SS Total'!H102+Comms!H101+Fundraising!H101+'Proj Dev'!H100+Admin_Total!H101</f>
        <v>0</v>
      </c>
      <c r="I101" s="25">
        <f>'Support Housing'!I101+'FC TOTAL'!I101+'SS Total'!I102+Comms!I101+Fundraising!I101+'Proj Dev'!I100+Admin_Total!I101</f>
        <v>0</v>
      </c>
      <c r="J101" s="25">
        <f>'Support Housing'!J101+'FC TOTAL'!J101+'SS Total'!J102+Comms!J101+Fundraising!J101+'Proj Dev'!J100+Admin_Total!J101</f>
        <v>0</v>
      </c>
      <c r="K101" s="25">
        <f>'Support Housing'!K101+'FC TOTAL'!K101+'SS Total'!K102+Comms!K101+Fundraising!K101+'Proj Dev'!K100+Admin_Total!K101</f>
        <v>0</v>
      </c>
      <c r="L101" s="25">
        <f>'Support Housing'!L101+'FC TOTAL'!L101+'SS Total'!L102+Comms!L101+Fundraising!L101+'Proj Dev'!L100+Admin_Total!L101</f>
        <v>0</v>
      </c>
      <c r="M101" s="25">
        <f>'Support Housing'!M101+'FC TOTAL'!M101+'SS Total'!M102+Comms!M101+Fundraising!M101+'Proj Dev'!M100+Admin_Total!M101</f>
        <v>0</v>
      </c>
      <c r="N101" s="25">
        <f>'Support Housing'!N101+'FC TOTAL'!N101+'SS Total'!N102+Comms!N101+Fundraising!N101+'Proj Dev'!N100+Admin_Total!N101</f>
        <v>0</v>
      </c>
      <c r="O101" s="25">
        <f>'Support Housing'!O101+'FC TOTAL'!O101+'SS Total'!O102+Comms!O101+Fundraising!O101+'Proj Dev'!O100+Admin_Total!O101</f>
        <v>0</v>
      </c>
      <c r="P101" s="25">
        <f t="shared" si="13"/>
        <v>105000</v>
      </c>
    </row>
    <row r="102" spans="1:16" x14ac:dyDescent="0.3">
      <c r="A102" s="26"/>
      <c r="B102" s="26"/>
      <c r="C102" s="25"/>
      <c r="D102" s="25">
        <f>'Support Housing'!D102+'FC TOTAL'!D102+'SS Total'!D103+Comms!D102+Fundraising!D102+'Proj Dev'!D101+Admin_Total!D102</f>
        <v>0</v>
      </c>
      <c r="E102" s="25">
        <f>'Support Housing'!E102+'FC TOTAL'!E102+'SS Total'!E103+Comms!E102+Fundraising!E102+'Proj Dev'!E101+Admin_Total!E102</f>
        <v>0</v>
      </c>
      <c r="F102" s="25">
        <f>'Support Housing'!F102+'FC TOTAL'!F102+'SS Total'!F103+Comms!F102+Fundraising!F102+'Proj Dev'!F101+Admin_Total!F102</f>
        <v>0</v>
      </c>
      <c r="G102" s="25">
        <f>'Support Housing'!G102+'FC TOTAL'!G102+'SS Total'!G103+Comms!G102+Fundraising!G102+'Proj Dev'!G101+Admin_Total!G102</f>
        <v>0</v>
      </c>
      <c r="H102" s="25">
        <f>'Support Housing'!H102+'FC TOTAL'!H102+'SS Total'!H103+Comms!H102+Fundraising!H102+'Proj Dev'!H101+Admin_Total!H102</f>
        <v>0</v>
      </c>
      <c r="I102" s="25">
        <f>'Support Housing'!I102+'FC TOTAL'!I102+'SS Total'!I103+Comms!I102+Fundraising!I102+'Proj Dev'!I101+Admin_Total!I102</f>
        <v>0</v>
      </c>
      <c r="J102" s="25">
        <f>'Support Housing'!J102+'FC TOTAL'!J102+'SS Total'!J103+Comms!J102+Fundraising!J102+'Proj Dev'!J101+Admin_Total!J102</f>
        <v>0</v>
      </c>
      <c r="K102" s="25">
        <f>'Support Housing'!K102+'FC TOTAL'!K102+'SS Total'!K103+Comms!K102+Fundraising!K102+'Proj Dev'!K101+Admin_Total!K102</f>
        <v>0</v>
      </c>
      <c r="L102" s="25">
        <f>'Support Housing'!L102+'FC TOTAL'!L102+'SS Total'!L103+Comms!L102+Fundraising!L102+'Proj Dev'!L101+Admin_Total!L102</f>
        <v>0</v>
      </c>
      <c r="M102" s="25">
        <f>'Support Housing'!M102+'FC TOTAL'!M102+'SS Total'!M103+Comms!M102+Fundraising!M102+'Proj Dev'!M101+Admin_Total!M102</f>
        <v>0</v>
      </c>
      <c r="N102" s="25">
        <f>'Support Housing'!N102+'FC TOTAL'!N102+'SS Total'!N103+Comms!N102+Fundraising!N102+'Proj Dev'!N101+Admin_Total!N102</f>
        <v>0</v>
      </c>
      <c r="O102" s="25">
        <f>'Support Housing'!O102+'FC TOTAL'!O102+'SS Total'!O103+Comms!O102+Fundraising!O102+'Proj Dev'!O101+Admin_Total!O102</f>
        <v>0</v>
      </c>
      <c r="P102" s="25">
        <f t="shared" si="13"/>
        <v>0</v>
      </c>
    </row>
    <row r="103" spans="1:16" x14ac:dyDescent="0.3">
      <c r="A103" s="26"/>
      <c r="B103" s="36"/>
      <c r="C103" s="25"/>
      <c r="D103" s="25">
        <f>'Support Housing'!D103+'FC TOTAL'!D103+'SS Total'!D104+Comms!D103+Fundraising!D103+'Proj Dev'!D102+Admin_Total!D103</f>
        <v>0</v>
      </c>
      <c r="E103" s="25">
        <f>'Support Housing'!E103+'FC TOTAL'!E103+'SS Total'!E104+Comms!E103+Fundraising!E103+'Proj Dev'!E102+Admin_Total!E103</f>
        <v>0</v>
      </c>
      <c r="F103" s="25">
        <f>'Support Housing'!F103+'FC TOTAL'!F103+'SS Total'!F104+Comms!F103+Fundraising!F103+'Proj Dev'!F102+Admin_Total!F103</f>
        <v>0</v>
      </c>
      <c r="G103" s="25">
        <f>'Support Housing'!G103+'FC TOTAL'!G103+'SS Total'!G104+Comms!G103+Fundraising!G103+'Proj Dev'!G102+Admin_Total!G103</f>
        <v>0</v>
      </c>
      <c r="H103" s="25">
        <f>'Support Housing'!H103+'FC TOTAL'!H103+'SS Total'!H104+Comms!H103+Fundraising!H103+'Proj Dev'!H102+Admin_Total!H103</f>
        <v>0</v>
      </c>
      <c r="I103" s="25">
        <f>'Support Housing'!I103+'FC TOTAL'!I103+'SS Total'!I104+Comms!I103+Fundraising!I103+'Proj Dev'!I102+Admin_Total!I103</f>
        <v>0</v>
      </c>
      <c r="J103" s="25">
        <f>'Support Housing'!J103+'FC TOTAL'!J103+'SS Total'!J104+Comms!J103+Fundraising!J103+'Proj Dev'!J102+Admin_Total!J103</f>
        <v>0</v>
      </c>
      <c r="K103" s="25">
        <f>'Support Housing'!K103+'FC TOTAL'!K103+'SS Total'!K104+Comms!K103+Fundraising!K103+'Proj Dev'!K102+Admin_Total!K103</f>
        <v>0</v>
      </c>
      <c r="L103" s="25">
        <f>'Support Housing'!L103+'FC TOTAL'!L103+'SS Total'!L104+Comms!L103+Fundraising!L103+'Proj Dev'!L102+Admin_Total!L103</f>
        <v>0</v>
      </c>
      <c r="M103" s="25">
        <f>'Support Housing'!M103+'FC TOTAL'!M103+'SS Total'!M104+Comms!M103+Fundraising!M103+'Proj Dev'!M102+Admin_Total!M103</f>
        <v>0</v>
      </c>
      <c r="N103" s="25">
        <f>'Support Housing'!N103+'FC TOTAL'!N103+'SS Total'!N104+Comms!N103+Fundraising!N103+'Proj Dev'!N102+Admin_Total!N103</f>
        <v>0</v>
      </c>
      <c r="O103" s="25">
        <f>'Support Housing'!O103+'FC TOTAL'!O103+'SS Total'!O104+Comms!O103+Fundraising!O103+'Proj Dev'!O102+Admin_Total!O103</f>
        <v>0</v>
      </c>
      <c r="P103" s="25">
        <f t="shared" si="13"/>
        <v>0</v>
      </c>
    </row>
    <row r="104" spans="1:16" x14ac:dyDescent="0.3">
      <c r="A104" s="26"/>
      <c r="B104" s="36"/>
      <c r="C104" s="25"/>
      <c r="D104" s="25">
        <f>'Support Housing'!D104+'FC TOTAL'!D104+'SS Total'!D105+Comms!D104+Fundraising!D104+'Proj Dev'!D103+Admin_Total!D104</f>
        <v>0</v>
      </c>
      <c r="E104" s="25">
        <f>'Support Housing'!E104+'FC TOTAL'!E104+'SS Total'!E105+Comms!E104+Fundraising!E104+'Proj Dev'!E103+Admin_Total!E104</f>
        <v>0</v>
      </c>
      <c r="F104" s="25">
        <f>'Support Housing'!F104+'FC TOTAL'!F104+'SS Total'!F105+Comms!F104+Fundraising!F104+'Proj Dev'!F103+Admin_Total!F104</f>
        <v>0</v>
      </c>
      <c r="G104" s="25">
        <f>'Support Housing'!G104+'FC TOTAL'!G104+'SS Total'!G105+Comms!G104+Fundraising!G104+'Proj Dev'!G103+Admin_Total!G104</f>
        <v>0</v>
      </c>
      <c r="H104" s="25">
        <f>'Support Housing'!H104+'FC TOTAL'!H104+'SS Total'!H105+Comms!H104+Fundraising!H104+'Proj Dev'!H103+Admin_Total!H104</f>
        <v>0</v>
      </c>
      <c r="I104" s="25">
        <f>'Support Housing'!I104+'FC TOTAL'!I104+'SS Total'!I105+Comms!I104+Fundraising!I104+'Proj Dev'!I103+Admin_Total!I104</f>
        <v>0</v>
      </c>
      <c r="J104" s="25">
        <f>'Support Housing'!J104+'FC TOTAL'!J104+'SS Total'!J105+Comms!J104+Fundraising!J104+'Proj Dev'!J103+Admin_Total!J104</f>
        <v>0</v>
      </c>
      <c r="K104" s="25">
        <f>'Support Housing'!K104+'FC TOTAL'!K104+'SS Total'!K105+Comms!K104+Fundraising!K104+'Proj Dev'!K103+Admin_Total!K104</f>
        <v>0</v>
      </c>
      <c r="L104" s="25">
        <f>'Support Housing'!L104+'FC TOTAL'!L104+'SS Total'!L105+Comms!L104+Fundraising!L104+'Proj Dev'!L103+Admin_Total!L104</f>
        <v>0</v>
      </c>
      <c r="M104" s="25">
        <f>'Support Housing'!M104+'FC TOTAL'!M104+'SS Total'!M105+Comms!M104+Fundraising!M104+'Proj Dev'!M103+Admin_Total!M104</f>
        <v>0</v>
      </c>
      <c r="N104" s="25">
        <f>'Support Housing'!N104+'FC TOTAL'!N104+'SS Total'!N105+Comms!N104+Fundraising!N104+'Proj Dev'!N103+Admin_Total!N104</f>
        <v>0</v>
      </c>
      <c r="O104" s="25">
        <f>'Support Housing'!O104+'FC TOTAL'!O104+'SS Total'!O105+Comms!O104+Fundraising!O104+'Proj Dev'!O103+Admin_Total!O104</f>
        <v>0</v>
      </c>
      <c r="P104" s="25">
        <f t="shared" si="13"/>
        <v>0</v>
      </c>
    </row>
    <row r="105" spans="1:16" x14ac:dyDescent="0.3">
      <c r="A105" s="194" t="s">
        <v>84</v>
      </c>
      <c r="B105" s="194"/>
      <c r="C105" s="25"/>
      <c r="D105" s="30">
        <f>SUM(D86:D104)</f>
        <v>150373</v>
      </c>
      <c r="E105" s="30">
        <f t="shared" ref="E105:P105" si="14">SUM(E86:E104)</f>
        <v>45598</v>
      </c>
      <c r="F105" s="30">
        <f t="shared" si="14"/>
        <v>45098</v>
      </c>
      <c r="G105" s="30">
        <f t="shared" si="14"/>
        <v>45438</v>
      </c>
      <c r="H105" s="30">
        <f t="shared" si="14"/>
        <v>44588</v>
      </c>
      <c r="I105" s="30">
        <f t="shared" si="14"/>
        <v>44533</v>
      </c>
      <c r="J105" s="30">
        <f t="shared" si="14"/>
        <v>44858</v>
      </c>
      <c r="K105" s="30">
        <f t="shared" si="14"/>
        <v>45023.839999999997</v>
      </c>
      <c r="L105" s="30">
        <f t="shared" si="14"/>
        <v>44773.84</v>
      </c>
      <c r="M105" s="30">
        <f t="shared" si="14"/>
        <v>44623.839999999997</v>
      </c>
      <c r="N105" s="30">
        <f t="shared" si="14"/>
        <v>44473.84</v>
      </c>
      <c r="O105" s="30">
        <f t="shared" si="14"/>
        <v>44498.84</v>
      </c>
      <c r="P105" s="30">
        <f t="shared" si="14"/>
        <v>643880.19999999995</v>
      </c>
    </row>
    <row r="106" spans="1:16" x14ac:dyDescent="0.3">
      <c r="A106" s="26"/>
      <c r="B106" s="36" t="s">
        <v>85</v>
      </c>
      <c r="C106" s="25"/>
      <c r="D106" s="30">
        <f>D105+D84+D53+D43</f>
        <v>452272.08067201835</v>
      </c>
      <c r="E106" s="30">
        <f t="shared" ref="E106:P106" si="15">E105+E84+E53+E43</f>
        <v>344797.26184350043</v>
      </c>
      <c r="F106" s="30">
        <f t="shared" si="15"/>
        <v>478327.97776525054</v>
      </c>
      <c r="G106" s="30">
        <f t="shared" si="15"/>
        <v>353137.26184350043</v>
      </c>
      <c r="H106" s="30">
        <f t="shared" si="15"/>
        <v>350312.26184350043</v>
      </c>
      <c r="I106" s="30">
        <f t="shared" si="15"/>
        <v>345856.26184350043</v>
      </c>
      <c r="J106" s="30">
        <f t="shared" si="15"/>
        <v>348598.92851016705</v>
      </c>
      <c r="K106" s="30">
        <f t="shared" si="15"/>
        <v>481671.4844319172</v>
      </c>
      <c r="L106" s="30">
        <f t="shared" si="15"/>
        <v>351513.76851016708</v>
      </c>
      <c r="M106" s="30">
        <f t="shared" si="15"/>
        <v>349864.76851016708</v>
      </c>
      <c r="N106" s="30">
        <f t="shared" si="15"/>
        <v>348214.76851016708</v>
      </c>
      <c r="O106" s="30">
        <f t="shared" si="15"/>
        <v>348613.76851016708</v>
      </c>
      <c r="P106" s="30">
        <f t="shared" si="15"/>
        <v>4580430.5927940235</v>
      </c>
    </row>
    <row r="107" spans="1:16" x14ac:dyDescent="0.3">
      <c r="A107" s="26"/>
      <c r="B107" s="36" t="s">
        <v>86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1:16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1:16" ht="15" thickBot="1" x14ac:dyDescent="0.35">
      <c r="A109" s="25"/>
      <c r="B109" s="25" t="s">
        <v>112</v>
      </c>
      <c r="C109" s="25"/>
      <c r="D109" s="31">
        <f>D32-D106-D107</f>
        <v>-139366.88873749779</v>
      </c>
      <c r="E109" s="31">
        <f t="shared" ref="E109:O109" si="16">E32-E106-E107</f>
        <v>-23014.229386514169</v>
      </c>
      <c r="F109" s="31">
        <f t="shared" si="16"/>
        <v>-157557.75683073001</v>
      </c>
      <c r="G109" s="31">
        <f t="shared" si="16"/>
        <v>-57596.617068157939</v>
      </c>
      <c r="H109" s="31">
        <f t="shared" si="16"/>
        <v>-47937.223408979888</v>
      </c>
      <c r="I109" s="31">
        <f t="shared" si="16"/>
        <v>-49966.138068157947</v>
      </c>
      <c r="J109" s="31">
        <f t="shared" si="16"/>
        <v>-31792.390075646515</v>
      </c>
      <c r="K109" s="31">
        <f t="shared" si="16"/>
        <v>-173006.44599739666</v>
      </c>
      <c r="L109" s="31">
        <f t="shared" si="16"/>
        <v>-51385.6447348246</v>
      </c>
      <c r="M109" s="31">
        <f t="shared" si="16"/>
        <v>-43250.730075646541</v>
      </c>
      <c r="N109" s="31">
        <f t="shared" si="16"/>
        <v>-48086.6447348246</v>
      </c>
      <c r="O109" s="31">
        <f t="shared" si="16"/>
        <v>850210.65675859991</v>
      </c>
      <c r="P109" s="31">
        <f>P32-P106-P107</f>
        <v>-5.2359776571393013E-2</v>
      </c>
    </row>
    <row r="110" spans="1:16" ht="15" thickTop="1" x14ac:dyDescent="0.3"/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3:R110"/>
  <sheetViews>
    <sheetView topLeftCell="A2" zoomScale="81" zoomScaleNormal="81" workbookViewId="0">
      <pane xSplit="2" ySplit="2" topLeftCell="C32" activePane="bottomRight" state="frozen"/>
      <selection activeCell="A2" sqref="A2"/>
      <selection pane="topRight" activeCell="C2" sqref="C2"/>
      <selection pane="bottomLeft" activeCell="A4" sqref="A4"/>
      <selection pane="bottomRight" activeCell="D38" sqref="D38:O38"/>
    </sheetView>
  </sheetViews>
  <sheetFormatPr defaultRowHeight="14.4" x14ac:dyDescent="0.3"/>
  <cols>
    <col min="2" max="2" width="30.44140625" customWidth="1"/>
    <col min="3" max="3" width="1.44140625" customWidth="1"/>
    <col min="10" max="16" width="9.109375" style="25"/>
    <col min="17" max="17" width="7" style="25" customWidth="1"/>
    <col min="18" max="18" width="46.44140625" style="47" customWidth="1"/>
  </cols>
  <sheetData>
    <row r="3" spans="1:18" x14ac:dyDescent="0.3">
      <c r="D3" s="3" t="s">
        <v>100</v>
      </c>
      <c r="E3" s="3" t="s">
        <v>101</v>
      </c>
      <c r="F3" s="3" t="s">
        <v>102</v>
      </c>
      <c r="G3" s="3" t="s">
        <v>103</v>
      </c>
      <c r="H3" s="3" t="s">
        <v>104</v>
      </c>
      <c r="I3" s="3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  <c r="R3" s="49" t="s">
        <v>152</v>
      </c>
    </row>
    <row r="4" spans="1:18" x14ac:dyDescent="0.3">
      <c r="A4" s="195" t="s">
        <v>99</v>
      </c>
      <c r="B4" s="195"/>
    </row>
    <row r="5" spans="1:18" x14ac:dyDescent="0.3">
      <c r="A5" s="195" t="s">
        <v>1</v>
      </c>
      <c r="B5" s="195"/>
    </row>
    <row r="6" spans="1:18" x14ac:dyDescent="0.3">
      <c r="A6" s="1"/>
      <c r="B6" s="94" t="s">
        <v>2</v>
      </c>
      <c r="P6" s="25">
        <f t="shared" ref="P6:P11" si="0">SUM(D6:O6)</f>
        <v>0</v>
      </c>
    </row>
    <row r="7" spans="1:18" x14ac:dyDescent="0.3">
      <c r="A7" s="1"/>
      <c r="B7" s="94" t="s">
        <v>204</v>
      </c>
      <c r="P7" s="25">
        <f t="shared" si="0"/>
        <v>0</v>
      </c>
    </row>
    <row r="8" spans="1:18" s="42" customFormat="1" x14ac:dyDescent="0.3">
      <c r="A8" s="1"/>
      <c r="B8" s="94" t="s">
        <v>205</v>
      </c>
      <c r="J8" s="43"/>
      <c r="K8" s="43"/>
      <c r="L8" s="43"/>
      <c r="M8" s="43"/>
      <c r="N8" s="43"/>
      <c r="O8" s="43"/>
      <c r="P8" s="43">
        <f t="shared" si="0"/>
        <v>0</v>
      </c>
      <c r="Q8" s="43"/>
      <c r="R8" s="47"/>
    </row>
    <row r="9" spans="1:18" x14ac:dyDescent="0.3">
      <c r="A9" s="1"/>
      <c r="B9" s="94" t="s">
        <v>4</v>
      </c>
      <c r="P9" s="43">
        <f t="shared" si="0"/>
        <v>0</v>
      </c>
    </row>
    <row r="10" spans="1:18" s="42" customFormat="1" x14ac:dyDescent="0.3">
      <c r="A10" s="1"/>
      <c r="B10" s="94" t="s">
        <v>206</v>
      </c>
      <c r="J10" s="43"/>
      <c r="K10" s="43"/>
      <c r="L10" s="43"/>
      <c r="M10" s="43"/>
      <c r="N10" s="43"/>
      <c r="O10" s="43"/>
      <c r="P10" s="43">
        <f t="shared" si="0"/>
        <v>0</v>
      </c>
      <c r="Q10" s="43"/>
      <c r="R10" s="47"/>
    </row>
    <row r="11" spans="1:18" x14ac:dyDescent="0.3">
      <c r="A11" s="1"/>
      <c r="B11" s="94" t="s">
        <v>207</v>
      </c>
      <c r="P11" s="25">
        <f t="shared" si="0"/>
        <v>0</v>
      </c>
    </row>
    <row r="12" spans="1:18" x14ac:dyDescent="0.3">
      <c r="A12" s="195" t="s">
        <v>6</v>
      </c>
      <c r="B12" s="195"/>
      <c r="D12" s="4">
        <f>SUM(D6:D11)</f>
        <v>0</v>
      </c>
      <c r="E12" s="4">
        <f t="shared" ref="E12:P12" si="1">SUM(E6:E11)</f>
        <v>0</v>
      </c>
      <c r="F12" s="4">
        <f t="shared" si="1"/>
        <v>0</v>
      </c>
      <c r="G12" s="4">
        <f t="shared" si="1"/>
        <v>0</v>
      </c>
      <c r="H12" s="4">
        <f t="shared" si="1"/>
        <v>0</v>
      </c>
      <c r="I12" s="4">
        <f t="shared" si="1"/>
        <v>0</v>
      </c>
      <c r="J12" s="28">
        <f t="shared" si="1"/>
        <v>0</v>
      </c>
      <c r="K12" s="28">
        <f t="shared" si="1"/>
        <v>0</v>
      </c>
      <c r="L12" s="28">
        <f t="shared" si="1"/>
        <v>0</v>
      </c>
      <c r="M12" s="28">
        <f t="shared" si="1"/>
        <v>0</v>
      </c>
      <c r="N12" s="28">
        <f t="shared" si="1"/>
        <v>0</v>
      </c>
      <c r="O12" s="28">
        <f t="shared" si="1"/>
        <v>0</v>
      </c>
      <c r="P12" s="28">
        <f t="shared" si="1"/>
        <v>0</v>
      </c>
      <c r="Q12" s="29">
        <f>P12-P6-P7-P9-P11</f>
        <v>0</v>
      </c>
    </row>
    <row r="13" spans="1:18" x14ac:dyDescent="0.3">
      <c r="A13" s="195" t="s">
        <v>7</v>
      </c>
      <c r="B13" s="195"/>
    </row>
    <row r="14" spans="1:18" x14ac:dyDescent="0.3">
      <c r="A14" s="1"/>
      <c r="B14" s="97" t="s">
        <v>8</v>
      </c>
      <c r="P14" s="25">
        <f>SUM(D14:O14)</f>
        <v>0</v>
      </c>
    </row>
    <row r="15" spans="1:18" x14ac:dyDescent="0.3">
      <c r="A15" s="1"/>
      <c r="B15" s="97" t="s">
        <v>9</v>
      </c>
      <c r="P15" s="25">
        <f>SUM(D15:O15)</f>
        <v>0</v>
      </c>
    </row>
    <row r="16" spans="1:18" x14ac:dyDescent="0.3">
      <c r="A16" s="1"/>
      <c r="B16" s="97" t="s">
        <v>219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f>SUM(D16:O16)</f>
        <v>0</v>
      </c>
    </row>
    <row r="17" spans="1:17" x14ac:dyDescent="0.3">
      <c r="A17" s="1"/>
      <c r="B17" s="66" t="s">
        <v>16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>SUM(D17:O17)</f>
        <v>0</v>
      </c>
    </row>
    <row r="18" spans="1:17" x14ac:dyDescent="0.3">
      <c r="A18" s="195" t="s">
        <v>10</v>
      </c>
      <c r="B18" s="195"/>
      <c r="D18" s="4">
        <f>SUM(D14:D17)</f>
        <v>0</v>
      </c>
      <c r="E18" s="4">
        <f t="shared" ref="E18:P18" si="2">SUM(E14:E17)</f>
        <v>0</v>
      </c>
      <c r="F18" s="4">
        <f t="shared" si="2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28">
        <f t="shared" si="2"/>
        <v>0</v>
      </c>
      <c r="K18" s="28">
        <f t="shared" si="2"/>
        <v>0</v>
      </c>
      <c r="L18" s="28">
        <f t="shared" si="2"/>
        <v>0</v>
      </c>
      <c r="M18" s="28">
        <f t="shared" si="2"/>
        <v>0</v>
      </c>
      <c r="N18" s="28">
        <f t="shared" si="2"/>
        <v>0</v>
      </c>
      <c r="O18" s="28">
        <f t="shared" si="2"/>
        <v>0</v>
      </c>
      <c r="P18" s="28">
        <f t="shared" si="2"/>
        <v>0</v>
      </c>
      <c r="Q18" s="29">
        <f>P18-P14-P15-P16-P17</f>
        <v>0</v>
      </c>
    </row>
    <row r="19" spans="1:17" x14ac:dyDescent="0.3">
      <c r="A19" s="195" t="s">
        <v>11</v>
      </c>
      <c r="B19" s="195"/>
    </row>
    <row r="20" spans="1:17" x14ac:dyDescent="0.3">
      <c r="A20" s="1"/>
      <c r="B20" s="2" t="s">
        <v>12</v>
      </c>
      <c r="P20" s="25">
        <f t="shared" ref="P20:P25" si="3">SUM(D20:O20)</f>
        <v>0</v>
      </c>
    </row>
    <row r="21" spans="1:17" x14ac:dyDescent="0.3">
      <c r="A21" s="1"/>
      <c r="B21" s="2" t="s">
        <v>96</v>
      </c>
      <c r="P21" s="25">
        <f t="shared" si="3"/>
        <v>0</v>
      </c>
    </row>
    <row r="22" spans="1:17" x14ac:dyDescent="0.3">
      <c r="A22" s="1"/>
      <c r="B22" s="2" t="s">
        <v>97</v>
      </c>
      <c r="P22" s="25">
        <f t="shared" si="3"/>
        <v>0</v>
      </c>
    </row>
    <row r="23" spans="1:17" x14ac:dyDescent="0.3">
      <c r="A23" s="1"/>
      <c r="B23" s="2" t="s">
        <v>13</v>
      </c>
      <c r="P23" s="25">
        <f t="shared" si="3"/>
        <v>0</v>
      </c>
    </row>
    <row r="24" spans="1:17" x14ac:dyDescent="0.3">
      <c r="A24" s="1"/>
      <c r="B24" s="2" t="s">
        <v>14</v>
      </c>
      <c r="P24" s="25">
        <f t="shared" si="3"/>
        <v>0</v>
      </c>
    </row>
    <row r="25" spans="1:17" x14ac:dyDescent="0.3">
      <c r="A25" s="1"/>
      <c r="B25" s="1"/>
      <c r="P25" s="25">
        <f t="shared" si="3"/>
        <v>0</v>
      </c>
    </row>
    <row r="26" spans="1:17" x14ac:dyDescent="0.3">
      <c r="A26" s="195" t="s">
        <v>15</v>
      </c>
      <c r="B26" s="195"/>
      <c r="D26" s="4">
        <f>SUM(D20:D25)</f>
        <v>0</v>
      </c>
      <c r="E26" s="4">
        <f t="shared" ref="E26:P26" si="4">SUM(E20:E25)</f>
        <v>0</v>
      </c>
      <c r="F26" s="4">
        <f t="shared" si="4"/>
        <v>0</v>
      </c>
      <c r="G26" s="4">
        <f t="shared" si="4"/>
        <v>0</v>
      </c>
      <c r="H26" s="4">
        <f t="shared" si="4"/>
        <v>0</v>
      </c>
      <c r="I26" s="4">
        <f t="shared" si="4"/>
        <v>0</v>
      </c>
      <c r="J26" s="28">
        <f t="shared" si="4"/>
        <v>0</v>
      </c>
      <c r="K26" s="28">
        <f t="shared" si="4"/>
        <v>0</v>
      </c>
      <c r="L26" s="28">
        <f t="shared" si="4"/>
        <v>0</v>
      </c>
      <c r="M26" s="28">
        <f t="shared" si="4"/>
        <v>0</v>
      </c>
      <c r="N26" s="28">
        <f t="shared" si="4"/>
        <v>0</v>
      </c>
      <c r="O26" s="28">
        <f t="shared" si="4"/>
        <v>0</v>
      </c>
      <c r="P26" s="28">
        <f t="shared" si="4"/>
        <v>0</v>
      </c>
      <c r="Q26" s="29">
        <f>SUM(P20:P25)-P26</f>
        <v>0</v>
      </c>
    </row>
    <row r="27" spans="1:17" x14ac:dyDescent="0.3">
      <c r="A27" s="195" t="s">
        <v>16</v>
      </c>
      <c r="B27" s="195"/>
    </row>
    <row r="28" spans="1:17" x14ac:dyDescent="0.3">
      <c r="A28" s="2" t="s">
        <v>17</v>
      </c>
      <c r="B28" s="2" t="s">
        <v>18</v>
      </c>
      <c r="P28" s="25">
        <f>SUM(D28:O28)</f>
        <v>0</v>
      </c>
    </row>
    <row r="29" spans="1:17" x14ac:dyDescent="0.3">
      <c r="A29" s="2" t="s">
        <v>17</v>
      </c>
      <c r="B29" s="2" t="s">
        <v>19</v>
      </c>
      <c r="P29" s="25">
        <f>SUM(D29:O29)</f>
        <v>0</v>
      </c>
    </row>
    <row r="30" spans="1:17" x14ac:dyDescent="0.3">
      <c r="A30" s="2" t="s">
        <v>17</v>
      </c>
      <c r="B30" s="2" t="s">
        <v>20</v>
      </c>
      <c r="P30" s="25">
        <f>SUM(D30:O30)</f>
        <v>0</v>
      </c>
    </row>
    <row r="31" spans="1:17" x14ac:dyDescent="0.3">
      <c r="A31" s="2" t="s">
        <v>17</v>
      </c>
      <c r="B31" s="2" t="s">
        <v>21</v>
      </c>
      <c r="P31" s="25">
        <f>SUM(D31:O31)</f>
        <v>0</v>
      </c>
    </row>
    <row r="32" spans="1:17" x14ac:dyDescent="0.3">
      <c r="A32" s="1"/>
      <c r="B32" s="1"/>
      <c r="D32" s="5">
        <f>D12+D18+D26+D28+D29+D30+D31</f>
        <v>0</v>
      </c>
      <c r="E32" s="5">
        <f t="shared" ref="E32:P32" si="5">E12+E18+E26+E28+E29+E30+E31</f>
        <v>0</v>
      </c>
      <c r="F32" s="5">
        <f t="shared" si="5"/>
        <v>0</v>
      </c>
      <c r="G32" s="5">
        <f t="shared" si="5"/>
        <v>0</v>
      </c>
      <c r="H32" s="5">
        <f t="shared" si="5"/>
        <v>0</v>
      </c>
      <c r="I32" s="5">
        <f t="shared" si="5"/>
        <v>0</v>
      </c>
      <c r="J32" s="30">
        <f t="shared" si="5"/>
        <v>0</v>
      </c>
      <c r="K32" s="30">
        <f t="shared" si="5"/>
        <v>0</v>
      </c>
      <c r="L32" s="30">
        <f t="shared" si="5"/>
        <v>0</v>
      </c>
      <c r="M32" s="30">
        <f t="shared" si="5"/>
        <v>0</v>
      </c>
      <c r="N32" s="30">
        <f t="shared" si="5"/>
        <v>0</v>
      </c>
      <c r="O32" s="30">
        <f t="shared" si="5"/>
        <v>0</v>
      </c>
      <c r="P32" s="30">
        <f t="shared" si="5"/>
        <v>0</v>
      </c>
      <c r="Q32" s="29">
        <f>SUM(P28:P31)*P32</f>
        <v>0</v>
      </c>
    </row>
    <row r="33" spans="1:17" x14ac:dyDescent="0.3">
      <c r="A33" s="1"/>
      <c r="B33" s="1"/>
    </row>
    <row r="34" spans="1:17" x14ac:dyDescent="0.3">
      <c r="A34" s="195" t="s">
        <v>22</v>
      </c>
      <c r="B34" s="195"/>
    </row>
    <row r="35" spans="1:17" x14ac:dyDescent="0.3">
      <c r="A35" s="1"/>
      <c r="B35" s="2" t="s">
        <v>23</v>
      </c>
      <c r="D35" s="43">
        <f>Sheet22!I19</f>
        <v>1324.5148800000002</v>
      </c>
      <c r="E35" s="43">
        <f>Sheet22!J19</f>
        <v>1324.5148800000002</v>
      </c>
      <c r="F35" s="43">
        <f>Sheet22!K19</f>
        <v>1986.7723200000003</v>
      </c>
      <c r="G35" s="43">
        <f>Sheet22!L19</f>
        <v>1324.5148800000002</v>
      </c>
      <c r="H35" s="43">
        <f>Sheet22!M19</f>
        <v>1324.5148800000002</v>
      </c>
      <c r="I35" s="43">
        <f>Sheet22!N19</f>
        <v>1324.5148800000002</v>
      </c>
      <c r="J35" s="43">
        <f>Sheet22!O19</f>
        <v>1324.5148800000002</v>
      </c>
      <c r="K35" s="43">
        <f>Sheet22!P19</f>
        <v>1986.7723200000003</v>
      </c>
      <c r="L35" s="43">
        <f>Sheet22!Q19</f>
        <v>1324.5148800000002</v>
      </c>
      <c r="M35" s="43">
        <f>Sheet22!R19</f>
        <v>1324.5148800000002</v>
      </c>
      <c r="N35" s="43">
        <f>Sheet22!S19</f>
        <v>1324.5148800000002</v>
      </c>
      <c r="O35" s="43">
        <f>Sheet22!T19</f>
        <v>1324.5148800000002</v>
      </c>
      <c r="P35" s="41">
        <f>SUM(D35:O35)</f>
        <v>17218.693440000003</v>
      </c>
    </row>
    <row r="36" spans="1:17" x14ac:dyDescent="0.3">
      <c r="A36" s="1"/>
      <c r="B36" s="2" t="s">
        <v>24</v>
      </c>
      <c r="D36" s="43">
        <f>D35*0.0735</f>
        <v>97.351843680000002</v>
      </c>
      <c r="E36" s="43">
        <f t="shared" ref="E36:O36" si="6">E35*0.0735</f>
        <v>97.351843680000002</v>
      </c>
      <c r="F36" s="43">
        <f t="shared" si="6"/>
        <v>146.02776552</v>
      </c>
      <c r="G36" s="43">
        <f t="shared" si="6"/>
        <v>97.351843680000002</v>
      </c>
      <c r="H36" s="43">
        <f t="shared" si="6"/>
        <v>97.351843680000002</v>
      </c>
      <c r="I36" s="43">
        <f t="shared" si="6"/>
        <v>97.351843680000002</v>
      </c>
      <c r="J36" s="43">
        <f t="shared" si="6"/>
        <v>97.351843680000002</v>
      </c>
      <c r="K36" s="43">
        <f t="shared" si="6"/>
        <v>146.02776552</v>
      </c>
      <c r="L36" s="43">
        <f t="shared" si="6"/>
        <v>97.351843680000002</v>
      </c>
      <c r="M36" s="43">
        <f t="shared" si="6"/>
        <v>97.351843680000002</v>
      </c>
      <c r="N36" s="43">
        <f t="shared" si="6"/>
        <v>97.351843680000002</v>
      </c>
      <c r="O36" s="43">
        <f t="shared" si="6"/>
        <v>97.351843680000002</v>
      </c>
      <c r="P36" s="41">
        <f t="shared" ref="P36:P42" si="7">SUM(D36:O36)</f>
        <v>1265.57396784</v>
      </c>
    </row>
    <row r="37" spans="1:17" x14ac:dyDescent="0.3">
      <c r="A37" s="1"/>
      <c r="B37" s="2" t="s">
        <v>25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1">
        <f t="shared" si="7"/>
        <v>0</v>
      </c>
    </row>
    <row r="38" spans="1:17" x14ac:dyDescent="0.3">
      <c r="A38" s="1"/>
      <c r="B38" s="2" t="s">
        <v>26</v>
      </c>
      <c r="D38" s="43">
        <f>D35*0.120421</f>
        <v>159.49940636448002</v>
      </c>
      <c r="E38" s="43">
        <f t="shared" ref="E38:O38" si="8">E35*0.120421</f>
        <v>159.49940636448002</v>
      </c>
      <c r="F38" s="43">
        <f t="shared" si="8"/>
        <v>239.24910954672004</v>
      </c>
      <c r="G38" s="43">
        <f t="shared" si="8"/>
        <v>159.49940636448002</v>
      </c>
      <c r="H38" s="43">
        <f t="shared" si="8"/>
        <v>159.49940636448002</v>
      </c>
      <c r="I38" s="43">
        <f t="shared" si="8"/>
        <v>159.49940636448002</v>
      </c>
      <c r="J38" s="43">
        <f t="shared" si="8"/>
        <v>159.49940636448002</v>
      </c>
      <c r="K38" s="43">
        <f t="shared" si="8"/>
        <v>239.24910954672004</v>
      </c>
      <c r="L38" s="43">
        <f t="shared" si="8"/>
        <v>159.49940636448002</v>
      </c>
      <c r="M38" s="43">
        <f t="shared" si="8"/>
        <v>159.49940636448002</v>
      </c>
      <c r="N38" s="43">
        <f t="shared" si="8"/>
        <v>159.49940636448002</v>
      </c>
      <c r="O38" s="43">
        <f t="shared" si="8"/>
        <v>159.49940636448002</v>
      </c>
      <c r="P38" s="41">
        <f t="shared" si="7"/>
        <v>2073.4922827382402</v>
      </c>
    </row>
    <row r="39" spans="1:17" x14ac:dyDescent="0.3">
      <c r="A39" s="1"/>
      <c r="B39" s="2" t="s">
        <v>27</v>
      </c>
      <c r="D39" s="43">
        <f>D36*0.1204</f>
        <v>11.721161979071999</v>
      </c>
      <c r="E39" s="43">
        <f t="shared" ref="E38:O40" si="9">E36*0.1204</f>
        <v>11.721161979071999</v>
      </c>
      <c r="F39" s="43">
        <f t="shared" si="9"/>
        <v>17.581742968607998</v>
      </c>
      <c r="G39" s="43">
        <f t="shared" si="9"/>
        <v>11.721161979071999</v>
      </c>
      <c r="H39" s="43">
        <f t="shared" si="9"/>
        <v>11.721161979071999</v>
      </c>
      <c r="I39" s="43">
        <f t="shared" si="9"/>
        <v>11.721161979071999</v>
      </c>
      <c r="J39" s="43">
        <f t="shared" si="9"/>
        <v>11.721161979071999</v>
      </c>
      <c r="K39" s="43">
        <f t="shared" si="9"/>
        <v>17.581742968607998</v>
      </c>
      <c r="L39" s="43">
        <f t="shared" si="9"/>
        <v>11.721161979071999</v>
      </c>
      <c r="M39" s="43">
        <f t="shared" si="9"/>
        <v>11.721161979071999</v>
      </c>
      <c r="N39" s="43">
        <f t="shared" si="9"/>
        <v>11.721161979071999</v>
      </c>
      <c r="O39" s="43">
        <f t="shared" si="9"/>
        <v>11.721161979071999</v>
      </c>
      <c r="P39" s="41">
        <f t="shared" si="7"/>
        <v>152.37510572793599</v>
      </c>
    </row>
    <row r="40" spans="1:17" x14ac:dyDescent="0.3">
      <c r="A40" s="1"/>
      <c r="B40" s="2" t="s">
        <v>28</v>
      </c>
      <c r="D40" s="43">
        <f>D37*0.1204</f>
        <v>0</v>
      </c>
      <c r="E40" s="43">
        <f t="shared" si="9"/>
        <v>0</v>
      </c>
      <c r="F40" s="43">
        <f t="shared" si="9"/>
        <v>0</v>
      </c>
      <c r="G40" s="43">
        <f t="shared" si="9"/>
        <v>0</v>
      </c>
      <c r="H40" s="43">
        <f t="shared" si="9"/>
        <v>0</v>
      </c>
      <c r="I40" s="43">
        <f t="shared" si="9"/>
        <v>0</v>
      </c>
      <c r="J40" s="43">
        <f t="shared" si="9"/>
        <v>0</v>
      </c>
      <c r="K40" s="43">
        <f t="shared" si="9"/>
        <v>0</v>
      </c>
      <c r="L40" s="43">
        <f t="shared" si="9"/>
        <v>0</v>
      </c>
      <c r="M40" s="43">
        <f t="shared" si="9"/>
        <v>0</v>
      </c>
      <c r="N40" s="43">
        <f t="shared" si="9"/>
        <v>0</v>
      </c>
      <c r="O40" s="43">
        <f t="shared" si="9"/>
        <v>0</v>
      </c>
      <c r="P40" s="41">
        <f t="shared" si="7"/>
        <v>0</v>
      </c>
      <c r="Q40" s="43">
        <f>Q35*0</f>
        <v>0</v>
      </c>
    </row>
    <row r="41" spans="1:17" x14ac:dyDescent="0.3">
      <c r="A41" s="1"/>
      <c r="B41" s="2" t="s">
        <v>29</v>
      </c>
      <c r="D41" s="43">
        <f>D35*0.01373</f>
        <v>18.1855893024</v>
      </c>
      <c r="E41" s="43">
        <f t="shared" ref="E41:O41" si="10">E35*0.01373</f>
        <v>18.1855893024</v>
      </c>
      <c r="F41" s="43">
        <f t="shared" si="10"/>
        <v>27.278383953600002</v>
      </c>
      <c r="G41" s="43">
        <f t="shared" si="10"/>
        <v>18.1855893024</v>
      </c>
      <c r="H41" s="43">
        <f t="shared" si="10"/>
        <v>18.1855893024</v>
      </c>
      <c r="I41" s="43">
        <f t="shared" si="10"/>
        <v>18.1855893024</v>
      </c>
      <c r="J41" s="43">
        <f t="shared" si="10"/>
        <v>18.1855893024</v>
      </c>
      <c r="K41" s="43">
        <f t="shared" si="10"/>
        <v>27.278383953600002</v>
      </c>
      <c r="L41" s="43">
        <f t="shared" si="10"/>
        <v>18.1855893024</v>
      </c>
      <c r="M41" s="43">
        <f t="shared" si="10"/>
        <v>18.1855893024</v>
      </c>
      <c r="N41" s="43">
        <f t="shared" si="10"/>
        <v>18.1855893024</v>
      </c>
      <c r="O41" s="43">
        <f t="shared" si="10"/>
        <v>18.1855893024</v>
      </c>
      <c r="P41" s="41">
        <f t="shared" si="7"/>
        <v>236.41266093119998</v>
      </c>
    </row>
    <row r="42" spans="1:17" x14ac:dyDescent="0.3">
      <c r="A42" s="1"/>
      <c r="B42" s="2" t="s">
        <v>30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>
        <f t="shared" si="7"/>
        <v>0</v>
      </c>
    </row>
    <row r="43" spans="1:17" x14ac:dyDescent="0.3">
      <c r="A43" s="195" t="s">
        <v>31</v>
      </c>
      <c r="B43" s="195"/>
      <c r="D43" s="28">
        <f t="shared" ref="D43:I43" si="11">SUM(D35:D42)</f>
        <v>1611.2728813259521</v>
      </c>
      <c r="E43" s="28">
        <f t="shared" si="11"/>
        <v>1611.2728813259521</v>
      </c>
      <c r="F43" s="28">
        <f t="shared" si="11"/>
        <v>2416.9093219889282</v>
      </c>
      <c r="G43" s="28">
        <f t="shared" si="11"/>
        <v>1611.2728813259521</v>
      </c>
      <c r="H43" s="28">
        <f t="shared" si="11"/>
        <v>1611.2728813259521</v>
      </c>
      <c r="I43" s="28">
        <f t="shared" si="11"/>
        <v>1611.2728813259521</v>
      </c>
      <c r="J43" s="28">
        <f t="shared" ref="J43:P43" si="12">SUM(J35:J42)</f>
        <v>1611.2728813259521</v>
      </c>
      <c r="K43" s="28">
        <f t="shared" si="12"/>
        <v>2416.9093219889282</v>
      </c>
      <c r="L43" s="28">
        <f t="shared" si="12"/>
        <v>1611.2728813259521</v>
      </c>
      <c r="M43" s="28">
        <f t="shared" si="12"/>
        <v>1611.2728813259521</v>
      </c>
      <c r="N43" s="28">
        <f t="shared" si="12"/>
        <v>1611.2728813259521</v>
      </c>
      <c r="O43" s="28">
        <f t="shared" si="12"/>
        <v>1611.2728813259521</v>
      </c>
      <c r="P43" s="28">
        <f t="shared" si="12"/>
        <v>20946.547457237379</v>
      </c>
      <c r="Q43" s="29">
        <f>SUM(P35:P42)</f>
        <v>20946.547457237379</v>
      </c>
    </row>
    <row r="44" spans="1:17" x14ac:dyDescent="0.3">
      <c r="A44" s="195" t="s">
        <v>32</v>
      </c>
      <c r="B44" s="195"/>
      <c r="D44" s="43"/>
      <c r="E44" s="43"/>
      <c r="F44" s="43"/>
      <c r="G44" s="43"/>
      <c r="H44" s="43"/>
      <c r="I44" s="43"/>
    </row>
    <row r="45" spans="1:17" x14ac:dyDescent="0.3">
      <c r="A45" s="1"/>
      <c r="B45" s="2" t="s">
        <v>33</v>
      </c>
      <c r="D45" s="43"/>
      <c r="E45" s="43"/>
      <c r="F45" s="43"/>
      <c r="G45" s="43"/>
      <c r="H45" s="43"/>
      <c r="I45" s="43"/>
      <c r="P45" s="25">
        <f t="shared" ref="P45:P52" si="13">SUM(D45:O45)</f>
        <v>0</v>
      </c>
    </row>
    <row r="46" spans="1:17" x14ac:dyDescent="0.3">
      <c r="A46" s="1"/>
      <c r="B46" s="2" t="s">
        <v>34</v>
      </c>
      <c r="D46" s="43"/>
      <c r="E46" s="43"/>
      <c r="F46" s="43"/>
      <c r="G46" s="43"/>
      <c r="H46" s="43"/>
      <c r="I46" s="43"/>
      <c r="P46" s="25">
        <f t="shared" si="13"/>
        <v>0</v>
      </c>
    </row>
    <row r="47" spans="1:17" x14ac:dyDescent="0.3">
      <c r="A47" s="1"/>
      <c r="B47" s="2" t="s">
        <v>35</v>
      </c>
      <c r="D47" s="43"/>
      <c r="E47" s="43"/>
      <c r="F47" s="43"/>
      <c r="G47" s="43"/>
      <c r="H47" s="43"/>
      <c r="I47" s="43"/>
      <c r="P47" s="25">
        <f t="shared" si="13"/>
        <v>0</v>
      </c>
    </row>
    <row r="48" spans="1:17" x14ac:dyDescent="0.3">
      <c r="A48" s="1"/>
      <c r="B48" s="2" t="s">
        <v>36</v>
      </c>
      <c r="D48" s="43"/>
      <c r="E48" s="43"/>
      <c r="F48" s="43"/>
      <c r="G48" s="43"/>
      <c r="H48" s="43"/>
      <c r="I48" s="43"/>
      <c r="P48" s="25">
        <f t="shared" si="13"/>
        <v>0</v>
      </c>
    </row>
    <row r="49" spans="1:18" x14ac:dyDescent="0.3">
      <c r="A49" s="1"/>
      <c r="B49" s="2" t="s">
        <v>37</v>
      </c>
      <c r="D49" s="43"/>
      <c r="E49" s="43"/>
      <c r="F49" s="43"/>
      <c r="G49" s="43"/>
      <c r="H49" s="43"/>
      <c r="I49" s="43"/>
      <c r="P49" s="25">
        <f t="shared" si="13"/>
        <v>0</v>
      </c>
    </row>
    <row r="50" spans="1:18" s="42" customFormat="1" x14ac:dyDescent="0.3">
      <c r="A50" s="1"/>
      <c r="B50" s="93" t="s">
        <v>194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>
        <f t="shared" si="13"/>
        <v>0</v>
      </c>
      <c r="Q50" s="43"/>
      <c r="R50" s="47"/>
    </row>
    <row r="51" spans="1:18" x14ac:dyDescent="0.3">
      <c r="A51" s="1"/>
      <c r="B51" s="2" t="s">
        <v>38</v>
      </c>
      <c r="D51" s="43"/>
      <c r="E51" s="43"/>
      <c r="F51" s="43"/>
      <c r="G51" s="43"/>
      <c r="H51" s="43"/>
      <c r="I51" s="43"/>
      <c r="P51" s="25">
        <f t="shared" si="13"/>
        <v>0</v>
      </c>
    </row>
    <row r="52" spans="1:18" x14ac:dyDescent="0.3">
      <c r="A52" s="1"/>
      <c r="B52" s="2" t="s">
        <v>39</v>
      </c>
      <c r="D52" s="43"/>
      <c r="E52" s="43"/>
      <c r="F52" s="43"/>
      <c r="G52" s="43"/>
      <c r="H52" s="43"/>
      <c r="I52" s="43"/>
      <c r="P52" s="25">
        <f t="shared" si="13"/>
        <v>0</v>
      </c>
    </row>
    <row r="53" spans="1:18" x14ac:dyDescent="0.3">
      <c r="A53" s="195" t="s">
        <v>40</v>
      </c>
      <c r="B53" s="195"/>
      <c r="D53" s="28">
        <f t="shared" ref="D53:I53" si="14">SUM(D45:D52)</f>
        <v>0</v>
      </c>
      <c r="E53" s="28">
        <f t="shared" si="14"/>
        <v>0</v>
      </c>
      <c r="F53" s="28">
        <f t="shared" si="14"/>
        <v>0</v>
      </c>
      <c r="G53" s="28">
        <f t="shared" si="14"/>
        <v>0</v>
      </c>
      <c r="H53" s="28">
        <f t="shared" si="14"/>
        <v>0</v>
      </c>
      <c r="I53" s="28">
        <f t="shared" si="14"/>
        <v>0</v>
      </c>
      <c r="J53" s="28">
        <f t="shared" ref="J53:P53" si="15">SUM(J45:J52)</f>
        <v>0</v>
      </c>
      <c r="K53" s="28">
        <f t="shared" si="15"/>
        <v>0</v>
      </c>
      <c r="L53" s="28">
        <f t="shared" si="15"/>
        <v>0</v>
      </c>
      <c r="M53" s="28">
        <f t="shared" si="15"/>
        <v>0</v>
      </c>
      <c r="N53" s="28">
        <f t="shared" si="15"/>
        <v>0</v>
      </c>
      <c r="O53" s="28">
        <f t="shared" si="15"/>
        <v>0</v>
      </c>
      <c r="P53" s="28">
        <f t="shared" si="15"/>
        <v>0</v>
      </c>
      <c r="Q53" s="29">
        <f>SUM(P52)-P53</f>
        <v>0</v>
      </c>
    </row>
    <row r="54" spans="1:18" x14ac:dyDescent="0.3">
      <c r="A54" s="195" t="s">
        <v>41</v>
      </c>
      <c r="B54" s="195"/>
      <c r="D54" s="43"/>
      <c r="E54" s="43"/>
      <c r="F54" s="43"/>
      <c r="G54" s="43"/>
      <c r="H54" s="43"/>
      <c r="I54" s="43"/>
    </row>
    <row r="55" spans="1:18" x14ac:dyDescent="0.3">
      <c r="A55" s="1"/>
      <c r="B55" s="2" t="s">
        <v>42</v>
      </c>
      <c r="D55" s="43">
        <f>P55/12</f>
        <v>166.66666666666666</v>
      </c>
      <c r="E55" s="43">
        <f>D55</f>
        <v>166.66666666666666</v>
      </c>
      <c r="F55" s="43">
        <f t="shared" ref="F55:O56" si="16">E55</f>
        <v>166.66666666666666</v>
      </c>
      <c r="G55" s="43">
        <f t="shared" si="16"/>
        <v>166.66666666666666</v>
      </c>
      <c r="H55" s="43">
        <f t="shared" si="16"/>
        <v>166.66666666666666</v>
      </c>
      <c r="I55" s="43">
        <f t="shared" si="16"/>
        <v>166.66666666666666</v>
      </c>
      <c r="J55" s="43">
        <f t="shared" si="16"/>
        <v>166.66666666666666</v>
      </c>
      <c r="K55" s="43">
        <f t="shared" si="16"/>
        <v>166.66666666666666</v>
      </c>
      <c r="L55" s="43">
        <f t="shared" si="16"/>
        <v>166.66666666666666</v>
      </c>
      <c r="M55" s="43">
        <f t="shared" si="16"/>
        <v>166.66666666666666</v>
      </c>
      <c r="N55" s="43">
        <f t="shared" si="16"/>
        <v>166.66666666666666</v>
      </c>
      <c r="O55" s="43">
        <f t="shared" si="16"/>
        <v>166.66666666666666</v>
      </c>
      <c r="P55" s="25">
        <v>2000</v>
      </c>
    </row>
    <row r="56" spans="1:18" ht="19.5" customHeight="1" x14ac:dyDescent="0.3">
      <c r="A56" s="1"/>
      <c r="B56" s="2" t="s">
        <v>43</v>
      </c>
      <c r="D56" s="43">
        <f>P56/12</f>
        <v>41.666666666666664</v>
      </c>
      <c r="E56" s="43">
        <f>D56</f>
        <v>41.666666666666664</v>
      </c>
      <c r="F56" s="43">
        <f t="shared" si="16"/>
        <v>41.666666666666664</v>
      </c>
      <c r="G56" s="43">
        <f t="shared" si="16"/>
        <v>41.666666666666664</v>
      </c>
      <c r="H56" s="43">
        <f t="shared" si="16"/>
        <v>41.666666666666664</v>
      </c>
      <c r="I56" s="43">
        <f t="shared" si="16"/>
        <v>41.666666666666664</v>
      </c>
      <c r="J56" s="43">
        <f t="shared" si="16"/>
        <v>41.666666666666664</v>
      </c>
      <c r="K56" s="43">
        <f t="shared" si="16"/>
        <v>41.666666666666664</v>
      </c>
      <c r="L56" s="43">
        <f t="shared" si="16"/>
        <v>41.666666666666664</v>
      </c>
      <c r="M56" s="43">
        <f t="shared" si="16"/>
        <v>41.666666666666664</v>
      </c>
      <c r="N56" s="43">
        <f t="shared" si="16"/>
        <v>41.666666666666664</v>
      </c>
      <c r="O56" s="43">
        <f t="shared" si="16"/>
        <v>41.666666666666664</v>
      </c>
      <c r="P56" s="43">
        <v>500</v>
      </c>
      <c r="Q56" s="41"/>
      <c r="R56" s="51" t="s">
        <v>177</v>
      </c>
    </row>
    <row r="57" spans="1:18" x14ac:dyDescent="0.3">
      <c r="A57" s="1"/>
      <c r="B57" s="2" t="s">
        <v>44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25">
        <f t="shared" ref="P57:P83" si="17">SUM(D57:O57)</f>
        <v>0</v>
      </c>
    </row>
    <row r="58" spans="1:18" ht="28.8" x14ac:dyDescent="0.3">
      <c r="A58" s="1"/>
      <c r="B58" s="2" t="s">
        <v>45</v>
      </c>
      <c r="D58" s="43">
        <v>8.33</v>
      </c>
      <c r="E58" s="43">
        <f t="shared" ref="E58:O58" si="18">D58</f>
        <v>8.33</v>
      </c>
      <c r="F58" s="43">
        <f t="shared" si="18"/>
        <v>8.33</v>
      </c>
      <c r="G58" s="43">
        <f t="shared" si="18"/>
        <v>8.33</v>
      </c>
      <c r="H58" s="43">
        <f t="shared" si="18"/>
        <v>8.33</v>
      </c>
      <c r="I58" s="43">
        <f t="shared" si="18"/>
        <v>8.33</v>
      </c>
      <c r="J58" s="43">
        <f t="shared" si="18"/>
        <v>8.33</v>
      </c>
      <c r="K58" s="43">
        <f t="shared" si="18"/>
        <v>8.33</v>
      </c>
      <c r="L58" s="43">
        <f t="shared" si="18"/>
        <v>8.33</v>
      </c>
      <c r="M58" s="43">
        <f t="shared" si="18"/>
        <v>8.33</v>
      </c>
      <c r="N58" s="43">
        <f t="shared" si="18"/>
        <v>8.33</v>
      </c>
      <c r="O58" s="43">
        <f t="shared" si="18"/>
        <v>8.33</v>
      </c>
      <c r="P58" s="43">
        <f>SUM(D58:O58)</f>
        <v>99.96</v>
      </c>
      <c r="R58" s="47" t="s">
        <v>176</v>
      </c>
    </row>
    <row r="59" spans="1:18" ht="30.75" customHeight="1" x14ac:dyDescent="0.3">
      <c r="A59" s="1"/>
      <c r="B59" s="2" t="s">
        <v>46</v>
      </c>
      <c r="D59" s="43">
        <f>P59/12</f>
        <v>183.33333333333334</v>
      </c>
      <c r="E59" s="43">
        <f t="shared" ref="E59:O59" si="19">D59</f>
        <v>183.33333333333334</v>
      </c>
      <c r="F59" s="43">
        <f t="shared" si="19"/>
        <v>183.33333333333334</v>
      </c>
      <c r="G59" s="43">
        <f t="shared" si="19"/>
        <v>183.33333333333334</v>
      </c>
      <c r="H59" s="43">
        <f t="shared" si="19"/>
        <v>183.33333333333334</v>
      </c>
      <c r="I59" s="43">
        <f t="shared" si="19"/>
        <v>183.33333333333334</v>
      </c>
      <c r="J59" s="43">
        <f t="shared" si="19"/>
        <v>183.33333333333334</v>
      </c>
      <c r="K59" s="43">
        <f t="shared" si="19"/>
        <v>183.33333333333334</v>
      </c>
      <c r="L59" s="43">
        <f t="shared" si="19"/>
        <v>183.33333333333334</v>
      </c>
      <c r="M59" s="43">
        <f t="shared" si="19"/>
        <v>183.33333333333334</v>
      </c>
      <c r="N59" s="43">
        <f t="shared" si="19"/>
        <v>183.33333333333334</v>
      </c>
      <c r="O59" s="43">
        <f t="shared" si="19"/>
        <v>183.33333333333334</v>
      </c>
      <c r="P59" s="25">
        <v>2200</v>
      </c>
      <c r="R59" s="47" t="s">
        <v>195</v>
      </c>
    </row>
    <row r="60" spans="1:18" x14ac:dyDescent="0.3">
      <c r="A60" s="1"/>
      <c r="B60" s="2" t="s">
        <v>47</v>
      </c>
      <c r="D60" s="43">
        <f>P60/12</f>
        <v>20.833333333333332</v>
      </c>
      <c r="E60" s="43">
        <f t="shared" ref="E60:O60" si="20">D60</f>
        <v>20.833333333333332</v>
      </c>
      <c r="F60" s="43">
        <f t="shared" si="20"/>
        <v>20.833333333333332</v>
      </c>
      <c r="G60" s="43">
        <f t="shared" si="20"/>
        <v>20.833333333333332</v>
      </c>
      <c r="H60" s="43">
        <f t="shared" si="20"/>
        <v>20.833333333333332</v>
      </c>
      <c r="I60" s="43">
        <f t="shared" si="20"/>
        <v>20.833333333333332</v>
      </c>
      <c r="J60" s="43">
        <f t="shared" si="20"/>
        <v>20.833333333333332</v>
      </c>
      <c r="K60" s="43">
        <f t="shared" si="20"/>
        <v>20.833333333333332</v>
      </c>
      <c r="L60" s="43">
        <f t="shared" si="20"/>
        <v>20.833333333333332</v>
      </c>
      <c r="M60" s="43">
        <f t="shared" si="20"/>
        <v>20.833333333333332</v>
      </c>
      <c r="N60" s="43">
        <f t="shared" si="20"/>
        <v>20.833333333333332</v>
      </c>
      <c r="O60" s="43">
        <f t="shared" si="20"/>
        <v>20.833333333333332</v>
      </c>
      <c r="P60" s="25">
        <v>250</v>
      </c>
      <c r="Q60" s="41"/>
      <c r="R60" s="47" t="s">
        <v>153</v>
      </c>
    </row>
    <row r="61" spans="1:18" ht="28.8" x14ac:dyDescent="0.3">
      <c r="A61" s="1"/>
      <c r="B61" s="2" t="s">
        <v>48</v>
      </c>
      <c r="D61" s="43">
        <f>P61/12</f>
        <v>333.33333333333331</v>
      </c>
      <c r="E61" s="43">
        <f t="shared" ref="E61:O61" si="21">D61</f>
        <v>333.33333333333331</v>
      </c>
      <c r="F61" s="43">
        <f t="shared" si="21"/>
        <v>333.33333333333331</v>
      </c>
      <c r="G61" s="43">
        <f t="shared" si="21"/>
        <v>333.33333333333331</v>
      </c>
      <c r="H61" s="43">
        <f t="shared" si="21"/>
        <v>333.33333333333331</v>
      </c>
      <c r="I61" s="43">
        <f t="shared" si="21"/>
        <v>333.33333333333331</v>
      </c>
      <c r="J61" s="43">
        <f t="shared" si="21"/>
        <v>333.33333333333331</v>
      </c>
      <c r="K61" s="43">
        <f t="shared" si="21"/>
        <v>333.33333333333331</v>
      </c>
      <c r="L61" s="43">
        <f t="shared" si="21"/>
        <v>333.33333333333331</v>
      </c>
      <c r="M61" s="43">
        <f t="shared" si="21"/>
        <v>333.33333333333331</v>
      </c>
      <c r="N61" s="43">
        <f t="shared" si="21"/>
        <v>333.33333333333331</v>
      </c>
      <c r="O61" s="43">
        <f t="shared" si="21"/>
        <v>333.33333333333331</v>
      </c>
      <c r="P61" s="25">
        <v>4000</v>
      </c>
      <c r="Q61" s="41"/>
      <c r="R61" s="47" t="s">
        <v>196</v>
      </c>
    </row>
    <row r="62" spans="1:18" x14ac:dyDescent="0.3">
      <c r="A62" s="1"/>
      <c r="B62" s="2" t="s">
        <v>49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25">
        <v>0</v>
      </c>
      <c r="Q62" s="41"/>
    </row>
    <row r="63" spans="1:18" x14ac:dyDescent="0.3">
      <c r="A63" s="1"/>
      <c r="B63" s="2" t="s">
        <v>50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25">
        <f t="shared" si="17"/>
        <v>0</v>
      </c>
      <c r="Q63" s="41"/>
    </row>
    <row r="64" spans="1:18" x14ac:dyDescent="0.3">
      <c r="A64" s="1"/>
      <c r="B64" s="2" t="s">
        <v>51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17"/>
        <v>0</v>
      </c>
      <c r="Q64" s="41"/>
    </row>
    <row r="65" spans="1:18" x14ac:dyDescent="0.3">
      <c r="A65" s="1"/>
      <c r="B65" s="2" t="s">
        <v>52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5">
        <f t="shared" si="17"/>
        <v>0</v>
      </c>
      <c r="Q65" s="41"/>
    </row>
    <row r="66" spans="1:18" x14ac:dyDescent="0.3">
      <c r="A66" s="1"/>
      <c r="B66" s="2" t="s">
        <v>53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25">
        <f t="shared" si="17"/>
        <v>0</v>
      </c>
      <c r="Q66" s="41"/>
    </row>
    <row r="67" spans="1:18" x14ac:dyDescent="0.3">
      <c r="A67" s="1"/>
      <c r="B67" s="2" t="s">
        <v>54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25">
        <f t="shared" si="17"/>
        <v>0</v>
      </c>
      <c r="Q67" s="41"/>
    </row>
    <row r="68" spans="1:18" x14ac:dyDescent="0.3">
      <c r="A68" s="1"/>
      <c r="B68" s="2" t="s">
        <v>55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25">
        <f t="shared" si="17"/>
        <v>0</v>
      </c>
      <c r="Q68" s="41"/>
    </row>
    <row r="69" spans="1:18" x14ac:dyDescent="0.3">
      <c r="A69" s="1"/>
      <c r="B69" s="2" t="s">
        <v>56</v>
      </c>
      <c r="D69" s="43">
        <f>P69/12</f>
        <v>0</v>
      </c>
      <c r="E69" s="43">
        <f>D69</f>
        <v>0</v>
      </c>
      <c r="F69" s="43">
        <f t="shared" ref="F69:O69" si="22">E69</f>
        <v>0</v>
      </c>
      <c r="G69" s="43">
        <f t="shared" si="22"/>
        <v>0</v>
      </c>
      <c r="H69" s="43">
        <f t="shared" si="22"/>
        <v>0</v>
      </c>
      <c r="I69" s="43">
        <f t="shared" si="22"/>
        <v>0</v>
      </c>
      <c r="J69" s="43">
        <f t="shared" si="22"/>
        <v>0</v>
      </c>
      <c r="K69" s="43">
        <f t="shared" si="22"/>
        <v>0</v>
      </c>
      <c r="L69" s="43">
        <f t="shared" si="22"/>
        <v>0</v>
      </c>
      <c r="M69" s="43">
        <f t="shared" si="22"/>
        <v>0</v>
      </c>
      <c r="N69" s="43">
        <f t="shared" si="22"/>
        <v>0</v>
      </c>
      <c r="O69" s="43">
        <f t="shared" si="22"/>
        <v>0</v>
      </c>
      <c r="P69" s="25">
        <v>0</v>
      </c>
      <c r="Q69" s="41"/>
    </row>
    <row r="70" spans="1:18" s="58" customFormat="1" x14ac:dyDescent="0.3">
      <c r="A70" s="56"/>
      <c r="B70" s="57" t="s">
        <v>57</v>
      </c>
      <c r="D70" s="43">
        <f>P70/12</f>
        <v>100</v>
      </c>
      <c r="E70" s="43">
        <f t="shared" ref="E70:O70" si="23">D70</f>
        <v>100</v>
      </c>
      <c r="F70" s="43">
        <f t="shared" si="23"/>
        <v>100</v>
      </c>
      <c r="G70" s="43">
        <f t="shared" si="23"/>
        <v>100</v>
      </c>
      <c r="H70" s="43">
        <f t="shared" si="23"/>
        <v>100</v>
      </c>
      <c r="I70" s="43">
        <f t="shared" si="23"/>
        <v>100</v>
      </c>
      <c r="J70" s="43">
        <f t="shared" si="23"/>
        <v>100</v>
      </c>
      <c r="K70" s="43">
        <f t="shared" si="23"/>
        <v>100</v>
      </c>
      <c r="L70" s="43">
        <f t="shared" si="23"/>
        <v>100</v>
      </c>
      <c r="M70" s="43">
        <f t="shared" si="23"/>
        <v>100</v>
      </c>
      <c r="N70" s="43">
        <f t="shared" si="23"/>
        <v>100</v>
      </c>
      <c r="O70" s="43">
        <f t="shared" si="23"/>
        <v>100</v>
      </c>
      <c r="P70" s="41">
        <v>1200</v>
      </c>
      <c r="Q70" s="41"/>
      <c r="R70" s="59"/>
    </row>
    <row r="71" spans="1:18" x14ac:dyDescent="0.3">
      <c r="A71" s="1"/>
      <c r="B71" s="2" t="s">
        <v>58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25">
        <f t="shared" si="17"/>
        <v>0</v>
      </c>
      <c r="Q71" s="41"/>
    </row>
    <row r="72" spans="1:18" x14ac:dyDescent="0.3">
      <c r="A72" s="1"/>
      <c r="B72" s="2" t="s">
        <v>59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25">
        <f t="shared" si="17"/>
        <v>0</v>
      </c>
      <c r="Q72" s="41"/>
    </row>
    <row r="73" spans="1:18" x14ac:dyDescent="0.3">
      <c r="A73" s="1"/>
      <c r="B73" s="2" t="s">
        <v>60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25">
        <f t="shared" si="17"/>
        <v>0</v>
      </c>
      <c r="Q73" s="41"/>
    </row>
    <row r="74" spans="1:18" ht="28.8" x14ac:dyDescent="0.3">
      <c r="A74" s="1"/>
      <c r="B74" s="2" t="s">
        <v>61</v>
      </c>
      <c r="D74" s="43">
        <f>P74/12</f>
        <v>3000</v>
      </c>
      <c r="E74" s="43">
        <f t="shared" ref="E74:O74" si="24">D74</f>
        <v>3000</v>
      </c>
      <c r="F74" s="43">
        <f t="shared" si="24"/>
        <v>3000</v>
      </c>
      <c r="G74" s="43">
        <f t="shared" si="24"/>
        <v>3000</v>
      </c>
      <c r="H74" s="43">
        <f t="shared" si="24"/>
        <v>3000</v>
      </c>
      <c r="I74" s="43">
        <f t="shared" si="24"/>
        <v>3000</v>
      </c>
      <c r="J74" s="43">
        <f t="shared" si="24"/>
        <v>3000</v>
      </c>
      <c r="K74" s="43">
        <f t="shared" si="24"/>
        <v>3000</v>
      </c>
      <c r="L74" s="43">
        <f t="shared" si="24"/>
        <v>3000</v>
      </c>
      <c r="M74" s="43">
        <f t="shared" si="24"/>
        <v>3000</v>
      </c>
      <c r="N74" s="43">
        <f t="shared" si="24"/>
        <v>3000</v>
      </c>
      <c r="O74" s="43">
        <f t="shared" si="24"/>
        <v>3000</v>
      </c>
      <c r="P74" s="25">
        <v>36000</v>
      </c>
      <c r="Q74" s="41"/>
      <c r="R74" s="47" t="s">
        <v>197</v>
      </c>
    </row>
    <row r="75" spans="1:18" x14ac:dyDescent="0.3">
      <c r="A75" s="1"/>
      <c r="B75" s="2" t="s">
        <v>62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25">
        <f t="shared" si="17"/>
        <v>0</v>
      </c>
      <c r="Q75" s="41"/>
    </row>
    <row r="76" spans="1:18" x14ac:dyDescent="0.3">
      <c r="A76" s="1"/>
      <c r="B76" s="2" t="s">
        <v>63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25">
        <f t="shared" si="17"/>
        <v>0</v>
      </c>
      <c r="Q76" s="41"/>
    </row>
    <row r="77" spans="1:18" x14ac:dyDescent="0.3">
      <c r="A77" s="2" t="s">
        <v>17</v>
      </c>
      <c r="B77" s="2" t="s">
        <v>64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25">
        <f t="shared" si="17"/>
        <v>0</v>
      </c>
      <c r="Q77" s="41"/>
    </row>
    <row r="78" spans="1:18" s="58" customFormat="1" x14ac:dyDescent="0.3">
      <c r="A78" s="56"/>
      <c r="B78" s="57" t="s">
        <v>65</v>
      </c>
      <c r="D78" s="43">
        <f>P78/12</f>
        <v>41.666666666666664</v>
      </c>
      <c r="E78" s="43">
        <f t="shared" ref="E78:O78" si="25">D78</f>
        <v>41.666666666666664</v>
      </c>
      <c r="F78" s="43">
        <f t="shared" si="25"/>
        <v>41.666666666666664</v>
      </c>
      <c r="G78" s="43">
        <f t="shared" si="25"/>
        <v>41.666666666666664</v>
      </c>
      <c r="H78" s="43">
        <f t="shared" si="25"/>
        <v>41.666666666666664</v>
      </c>
      <c r="I78" s="43">
        <f t="shared" si="25"/>
        <v>41.666666666666664</v>
      </c>
      <c r="J78" s="43">
        <f t="shared" si="25"/>
        <v>41.666666666666664</v>
      </c>
      <c r="K78" s="43">
        <f t="shared" si="25"/>
        <v>41.666666666666664</v>
      </c>
      <c r="L78" s="43">
        <f t="shared" si="25"/>
        <v>41.666666666666664</v>
      </c>
      <c r="M78" s="43">
        <f t="shared" si="25"/>
        <v>41.666666666666664</v>
      </c>
      <c r="N78" s="43">
        <f t="shared" si="25"/>
        <v>41.666666666666664</v>
      </c>
      <c r="O78" s="43">
        <f t="shared" si="25"/>
        <v>41.666666666666664</v>
      </c>
      <c r="P78" s="41">
        <v>500</v>
      </c>
      <c r="Q78" s="41"/>
      <c r="R78" s="59"/>
    </row>
    <row r="79" spans="1:18" x14ac:dyDescent="0.3">
      <c r="A79" s="1"/>
      <c r="B79" s="1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25">
        <f t="shared" si="17"/>
        <v>0</v>
      </c>
      <c r="Q79" s="41"/>
    </row>
    <row r="80" spans="1:18" x14ac:dyDescent="0.3">
      <c r="A80" s="1"/>
      <c r="B80" s="2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25">
        <f t="shared" si="17"/>
        <v>0</v>
      </c>
      <c r="Q80" s="41"/>
    </row>
    <row r="81" spans="1:17" x14ac:dyDescent="0.3">
      <c r="A81" s="1"/>
      <c r="B81" s="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25">
        <f t="shared" si="17"/>
        <v>0</v>
      </c>
      <c r="Q81" s="41"/>
    </row>
    <row r="82" spans="1:17" x14ac:dyDescent="0.3">
      <c r="A82" s="1"/>
      <c r="B82" s="2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25">
        <f t="shared" si="17"/>
        <v>0</v>
      </c>
      <c r="Q82" s="41"/>
    </row>
    <row r="83" spans="1:17" x14ac:dyDescent="0.3">
      <c r="A83" s="1"/>
      <c r="B83" s="2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25">
        <f t="shared" si="17"/>
        <v>0</v>
      </c>
      <c r="Q83" s="41"/>
    </row>
    <row r="84" spans="1:17" x14ac:dyDescent="0.3">
      <c r="A84" s="195" t="s">
        <v>66</v>
      </c>
      <c r="B84" s="195"/>
      <c r="D84" s="28">
        <f t="shared" ref="D84:P84" si="26">SUM(D56:D83)</f>
        <v>3729.1633333333334</v>
      </c>
      <c r="E84" s="28">
        <f t="shared" si="26"/>
        <v>3729.1633333333334</v>
      </c>
      <c r="F84" s="28">
        <f t="shared" si="26"/>
        <v>3729.1633333333334</v>
      </c>
      <c r="G84" s="28">
        <f t="shared" si="26"/>
        <v>3729.1633333333334</v>
      </c>
      <c r="H84" s="28">
        <f t="shared" si="26"/>
        <v>3729.1633333333334</v>
      </c>
      <c r="I84" s="28">
        <f t="shared" si="26"/>
        <v>3729.1633333333334</v>
      </c>
      <c r="J84" s="28">
        <f t="shared" si="26"/>
        <v>3729.1633333333334</v>
      </c>
      <c r="K84" s="28">
        <f t="shared" si="26"/>
        <v>3729.1633333333334</v>
      </c>
      <c r="L84" s="28">
        <f t="shared" si="26"/>
        <v>3729.1633333333334</v>
      </c>
      <c r="M84" s="28">
        <f t="shared" si="26"/>
        <v>3729.1633333333334</v>
      </c>
      <c r="N84" s="28">
        <f t="shared" si="26"/>
        <v>3729.1633333333334</v>
      </c>
      <c r="O84" s="28">
        <f t="shared" si="26"/>
        <v>3729.1633333333334</v>
      </c>
      <c r="P84" s="28">
        <f t="shared" si="26"/>
        <v>44749.96</v>
      </c>
      <c r="Q84" s="50"/>
    </row>
    <row r="85" spans="1:17" x14ac:dyDescent="0.3">
      <c r="A85" s="195" t="s">
        <v>67</v>
      </c>
      <c r="B85" s="195"/>
      <c r="D85" s="43"/>
      <c r="E85" s="43"/>
      <c r="F85" s="43"/>
      <c r="G85" s="43"/>
      <c r="H85" s="43"/>
      <c r="I85" s="43"/>
      <c r="Q85" s="41"/>
    </row>
    <row r="86" spans="1:17" x14ac:dyDescent="0.3">
      <c r="A86" s="1"/>
      <c r="B86" s="2" t="s">
        <v>68</v>
      </c>
      <c r="D86" s="43"/>
      <c r="E86" s="43"/>
      <c r="F86" s="43"/>
      <c r="G86" s="43"/>
      <c r="H86" s="43"/>
      <c r="I86" s="43"/>
      <c r="P86" s="25">
        <f t="shared" ref="P86:P104" si="27">SUM(D86:O86)</f>
        <v>0</v>
      </c>
    </row>
    <row r="87" spans="1:17" x14ac:dyDescent="0.3">
      <c r="A87" s="1"/>
      <c r="B87" s="2" t="s">
        <v>69</v>
      </c>
      <c r="D87" s="43"/>
      <c r="E87" s="43"/>
      <c r="F87" s="43"/>
      <c r="G87" s="43"/>
      <c r="H87" s="43"/>
      <c r="I87" s="43"/>
      <c r="P87" s="25">
        <f t="shared" si="27"/>
        <v>0</v>
      </c>
    </row>
    <row r="88" spans="1:17" x14ac:dyDescent="0.3">
      <c r="A88" s="1"/>
      <c r="B88" s="2" t="s">
        <v>70</v>
      </c>
      <c r="D88" s="43"/>
      <c r="E88" s="43"/>
      <c r="F88" s="43"/>
      <c r="G88" s="43"/>
      <c r="H88" s="43"/>
      <c r="I88" s="43"/>
      <c r="P88" s="25">
        <f t="shared" si="27"/>
        <v>0</v>
      </c>
    </row>
    <row r="89" spans="1:17" x14ac:dyDescent="0.3">
      <c r="A89" s="1"/>
      <c r="B89" s="2" t="s">
        <v>71</v>
      </c>
      <c r="D89" s="43"/>
      <c r="E89" s="43"/>
      <c r="F89" s="43"/>
      <c r="G89" s="43"/>
      <c r="H89" s="43"/>
      <c r="I89" s="43"/>
      <c r="P89" s="25">
        <f t="shared" si="27"/>
        <v>0</v>
      </c>
    </row>
    <row r="90" spans="1:17" x14ac:dyDescent="0.3">
      <c r="A90" s="1"/>
      <c r="B90" s="2" t="s">
        <v>72</v>
      </c>
      <c r="D90" s="43"/>
      <c r="E90" s="43"/>
      <c r="F90" s="43"/>
      <c r="G90" s="43"/>
      <c r="H90" s="43"/>
      <c r="I90" s="43"/>
      <c r="P90" s="25">
        <f t="shared" si="27"/>
        <v>0</v>
      </c>
    </row>
    <row r="91" spans="1:17" x14ac:dyDescent="0.3">
      <c r="A91" s="1"/>
      <c r="B91" s="2" t="s">
        <v>73</v>
      </c>
      <c r="D91" s="43"/>
      <c r="E91" s="43"/>
      <c r="F91" s="43"/>
      <c r="G91" s="43"/>
      <c r="H91" s="43"/>
      <c r="I91" s="43"/>
      <c r="P91" s="25">
        <f t="shared" si="27"/>
        <v>0</v>
      </c>
    </row>
    <row r="92" spans="1:17" x14ac:dyDescent="0.3">
      <c r="A92" s="1"/>
      <c r="B92" s="2" t="s">
        <v>74</v>
      </c>
      <c r="D92" s="43"/>
      <c r="E92" s="43"/>
      <c r="F92" s="43"/>
      <c r="G92" s="43"/>
      <c r="H92" s="43"/>
      <c r="I92" s="43"/>
      <c r="P92" s="25">
        <f t="shared" si="27"/>
        <v>0</v>
      </c>
    </row>
    <row r="93" spans="1:17" x14ac:dyDescent="0.3">
      <c r="A93" s="1"/>
      <c r="B93" s="2" t="s">
        <v>75</v>
      </c>
      <c r="D93" s="43"/>
      <c r="E93" s="43"/>
      <c r="F93" s="43"/>
      <c r="G93" s="43"/>
      <c r="H93" s="43"/>
      <c r="I93" s="43"/>
      <c r="P93" s="25">
        <f t="shared" si="27"/>
        <v>0</v>
      </c>
    </row>
    <row r="94" spans="1:17" x14ac:dyDescent="0.3">
      <c r="A94" s="1"/>
      <c r="B94" s="2" t="s">
        <v>76</v>
      </c>
      <c r="D94" s="43"/>
      <c r="E94" s="43"/>
      <c r="F94" s="43"/>
      <c r="G94" s="43"/>
      <c r="H94" s="43"/>
      <c r="I94" s="43"/>
      <c r="P94" s="25">
        <f t="shared" si="27"/>
        <v>0</v>
      </c>
    </row>
    <row r="95" spans="1:17" x14ac:dyDescent="0.3">
      <c r="A95" s="1"/>
      <c r="B95" s="2" t="s">
        <v>77</v>
      </c>
      <c r="D95" s="43"/>
      <c r="E95" s="43"/>
      <c r="F95" s="43"/>
      <c r="G95" s="43"/>
      <c r="H95" s="43"/>
      <c r="I95" s="43"/>
      <c r="P95" s="25">
        <f t="shared" si="27"/>
        <v>0</v>
      </c>
    </row>
    <row r="96" spans="1:17" x14ac:dyDescent="0.3">
      <c r="A96" s="1"/>
      <c r="B96" s="2" t="s">
        <v>78</v>
      </c>
      <c r="D96" s="43"/>
      <c r="E96" s="43"/>
      <c r="F96" s="43"/>
      <c r="G96" s="43"/>
      <c r="H96" s="43"/>
      <c r="I96" s="43"/>
      <c r="P96" s="25">
        <f t="shared" si="27"/>
        <v>0</v>
      </c>
    </row>
    <row r="97" spans="1:17" x14ac:dyDescent="0.3">
      <c r="A97" s="1"/>
      <c r="B97" s="2" t="s">
        <v>79</v>
      </c>
      <c r="D97" s="43"/>
      <c r="E97" s="43"/>
      <c r="F97" s="43"/>
      <c r="G97" s="43"/>
      <c r="H97" s="43"/>
      <c r="I97" s="43"/>
      <c r="P97" s="25">
        <f t="shared" si="27"/>
        <v>0</v>
      </c>
    </row>
    <row r="98" spans="1:17" x14ac:dyDescent="0.3">
      <c r="A98" s="1"/>
      <c r="B98" s="2" t="s">
        <v>80</v>
      </c>
      <c r="D98" s="43"/>
      <c r="E98" s="43"/>
      <c r="F98" s="43"/>
      <c r="G98" s="43"/>
      <c r="H98" s="43"/>
      <c r="I98" s="43"/>
      <c r="P98" s="25">
        <f t="shared" si="27"/>
        <v>0</v>
      </c>
    </row>
    <row r="99" spans="1:17" x14ac:dyDescent="0.3">
      <c r="A99" s="1"/>
      <c r="B99" s="2" t="s">
        <v>81</v>
      </c>
      <c r="D99" s="43"/>
      <c r="E99" s="43"/>
      <c r="F99" s="43"/>
      <c r="G99" s="43"/>
      <c r="H99" s="43"/>
      <c r="I99" s="43"/>
      <c r="P99" s="25">
        <f t="shared" si="27"/>
        <v>0</v>
      </c>
    </row>
    <row r="100" spans="1:17" x14ac:dyDescent="0.3">
      <c r="A100" s="1"/>
      <c r="B100" s="2" t="s">
        <v>82</v>
      </c>
      <c r="D100" s="43"/>
      <c r="E100" s="43"/>
      <c r="F100" s="43"/>
      <c r="G100" s="43"/>
      <c r="H100" s="43"/>
      <c r="I100" s="43"/>
      <c r="P100" s="25">
        <f t="shared" si="27"/>
        <v>0</v>
      </c>
    </row>
    <row r="101" spans="1:17" x14ac:dyDescent="0.3">
      <c r="A101" s="1"/>
      <c r="B101" s="2" t="s">
        <v>83</v>
      </c>
      <c r="D101" s="43"/>
      <c r="E101" s="43"/>
      <c r="F101" s="43"/>
      <c r="G101" s="43"/>
      <c r="H101" s="43"/>
      <c r="I101" s="43"/>
      <c r="P101" s="25">
        <f t="shared" si="27"/>
        <v>0</v>
      </c>
    </row>
    <row r="102" spans="1:17" x14ac:dyDescent="0.3">
      <c r="A102" s="1"/>
      <c r="B102" s="1"/>
      <c r="D102" s="43"/>
      <c r="E102" s="43"/>
      <c r="F102" s="43"/>
      <c r="G102" s="43"/>
      <c r="H102" s="43"/>
      <c r="I102" s="43"/>
      <c r="P102" s="25">
        <f t="shared" si="27"/>
        <v>0</v>
      </c>
    </row>
    <row r="103" spans="1:17" x14ac:dyDescent="0.3">
      <c r="A103" s="1"/>
      <c r="B103" s="2"/>
      <c r="D103" s="43"/>
      <c r="E103" s="43"/>
      <c r="F103" s="43"/>
      <c r="G103" s="43"/>
      <c r="H103" s="43"/>
      <c r="I103" s="43"/>
      <c r="P103" s="25">
        <f t="shared" si="27"/>
        <v>0</v>
      </c>
    </row>
    <row r="104" spans="1:17" x14ac:dyDescent="0.3">
      <c r="A104" s="1"/>
      <c r="B104" s="2"/>
      <c r="D104" s="43"/>
      <c r="E104" s="43"/>
      <c r="F104" s="43"/>
      <c r="G104" s="43"/>
      <c r="H104" s="43"/>
      <c r="I104" s="43"/>
      <c r="P104" s="25">
        <f t="shared" si="27"/>
        <v>0</v>
      </c>
    </row>
    <row r="105" spans="1:17" x14ac:dyDescent="0.3">
      <c r="A105" s="195" t="s">
        <v>84</v>
      </c>
      <c r="B105" s="195"/>
      <c r="D105" s="30">
        <f t="shared" ref="D105:I105" si="28">SUM(D86:D104)</f>
        <v>0</v>
      </c>
      <c r="E105" s="30">
        <f t="shared" si="28"/>
        <v>0</v>
      </c>
      <c r="F105" s="30">
        <f t="shared" si="28"/>
        <v>0</v>
      </c>
      <c r="G105" s="30">
        <f t="shared" si="28"/>
        <v>0</v>
      </c>
      <c r="H105" s="30">
        <f t="shared" si="28"/>
        <v>0</v>
      </c>
      <c r="I105" s="30">
        <f t="shared" si="28"/>
        <v>0</v>
      </c>
      <c r="J105" s="30">
        <f t="shared" ref="J105:P105" si="29">SUM(J86:J104)</f>
        <v>0</v>
      </c>
      <c r="K105" s="30">
        <f t="shared" si="29"/>
        <v>0</v>
      </c>
      <c r="L105" s="30">
        <f t="shared" si="29"/>
        <v>0</v>
      </c>
      <c r="M105" s="30">
        <f t="shared" si="29"/>
        <v>0</v>
      </c>
      <c r="N105" s="30">
        <f t="shared" si="29"/>
        <v>0</v>
      </c>
      <c r="O105" s="30">
        <f t="shared" si="29"/>
        <v>0</v>
      </c>
      <c r="P105" s="30">
        <f t="shared" si="29"/>
        <v>0</v>
      </c>
      <c r="Q105" s="29">
        <f>SUM(P86:P104)-P105</f>
        <v>0</v>
      </c>
    </row>
    <row r="106" spans="1:17" x14ac:dyDescent="0.3">
      <c r="A106" s="1"/>
      <c r="B106" s="2" t="s">
        <v>85</v>
      </c>
      <c r="D106" s="30">
        <f t="shared" ref="D106:P106" si="30">D105+D84+D53+D43</f>
        <v>5340.4362146592857</v>
      </c>
      <c r="E106" s="30">
        <f t="shared" si="30"/>
        <v>5340.4362146592857</v>
      </c>
      <c r="F106" s="30">
        <f t="shared" si="30"/>
        <v>6146.0726553222612</v>
      </c>
      <c r="G106" s="30">
        <f t="shared" si="30"/>
        <v>5340.4362146592857</v>
      </c>
      <c r="H106" s="30">
        <f t="shared" si="30"/>
        <v>5340.4362146592857</v>
      </c>
      <c r="I106" s="30">
        <f t="shared" si="30"/>
        <v>5340.4362146592857</v>
      </c>
      <c r="J106" s="30">
        <f t="shared" si="30"/>
        <v>5340.4362146592857</v>
      </c>
      <c r="K106" s="30">
        <f t="shared" si="30"/>
        <v>6146.0726553222612</v>
      </c>
      <c r="L106" s="30">
        <f t="shared" si="30"/>
        <v>5340.4362146592857</v>
      </c>
      <c r="M106" s="30">
        <f t="shared" si="30"/>
        <v>5340.4362146592857</v>
      </c>
      <c r="N106" s="30">
        <f t="shared" si="30"/>
        <v>5340.4362146592857</v>
      </c>
      <c r="O106" s="30">
        <f t="shared" si="30"/>
        <v>5340.4362146592857</v>
      </c>
      <c r="P106" s="30">
        <f t="shared" si="30"/>
        <v>65696.507457237371</v>
      </c>
    </row>
    <row r="107" spans="1:17" x14ac:dyDescent="0.3">
      <c r="A107" s="1"/>
      <c r="B107" s="2" t="s">
        <v>86</v>
      </c>
      <c r="D107" s="43"/>
      <c r="E107" s="43"/>
      <c r="F107" s="43"/>
      <c r="G107" s="43"/>
      <c r="H107" s="43"/>
      <c r="I107" s="43"/>
    </row>
    <row r="108" spans="1:17" x14ac:dyDescent="0.3">
      <c r="D108" s="43"/>
      <c r="E108" s="43"/>
      <c r="F108" s="43"/>
      <c r="G108" s="43"/>
      <c r="H108" s="43"/>
      <c r="I108" s="43"/>
    </row>
    <row r="109" spans="1:17" ht="15" thickBot="1" x14ac:dyDescent="0.35">
      <c r="B109" t="s">
        <v>112</v>
      </c>
      <c r="D109" s="31">
        <f t="shared" ref="D109:P109" si="31">D32-D106-D107</f>
        <v>-5340.4362146592857</v>
      </c>
      <c r="E109" s="31">
        <f t="shared" si="31"/>
        <v>-5340.4362146592857</v>
      </c>
      <c r="F109" s="31">
        <f t="shared" si="31"/>
        <v>-6146.0726553222612</v>
      </c>
      <c r="G109" s="31">
        <f t="shared" si="31"/>
        <v>-5340.4362146592857</v>
      </c>
      <c r="H109" s="31">
        <f t="shared" si="31"/>
        <v>-5340.4362146592857</v>
      </c>
      <c r="I109" s="31">
        <f t="shared" si="31"/>
        <v>-5340.4362146592857</v>
      </c>
      <c r="J109" s="31">
        <f t="shared" si="31"/>
        <v>-5340.4362146592857</v>
      </c>
      <c r="K109" s="31">
        <f t="shared" si="31"/>
        <v>-6146.0726553222612</v>
      </c>
      <c r="L109" s="31">
        <f t="shared" si="31"/>
        <v>-5340.4362146592857</v>
      </c>
      <c r="M109" s="31">
        <f t="shared" si="31"/>
        <v>-5340.4362146592857</v>
      </c>
      <c r="N109" s="31">
        <f t="shared" si="31"/>
        <v>-5340.4362146592857</v>
      </c>
      <c r="O109" s="31">
        <f t="shared" si="31"/>
        <v>-5340.4362146592857</v>
      </c>
      <c r="P109" s="31">
        <f t="shared" si="31"/>
        <v>-65696.507457237371</v>
      </c>
    </row>
    <row r="110" spans="1:17" ht="15" thickTop="1" x14ac:dyDescent="0.3"/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3:R110"/>
  <sheetViews>
    <sheetView zoomScale="85" zoomScaleNormal="85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D38" sqref="D38:O38"/>
    </sheetView>
  </sheetViews>
  <sheetFormatPr defaultRowHeight="14.4" x14ac:dyDescent="0.3"/>
  <cols>
    <col min="2" max="2" width="29.5546875" customWidth="1"/>
    <col min="3" max="3" width="1.88671875" customWidth="1"/>
    <col min="10" max="11" width="9.109375" style="25"/>
    <col min="12" max="12" width="11.88671875" style="25" customWidth="1"/>
    <col min="13" max="13" width="9.44140625" style="25" customWidth="1"/>
    <col min="14" max="14" width="10.44140625" style="25" customWidth="1"/>
    <col min="15" max="15" width="11.44140625" style="25" customWidth="1"/>
    <col min="16" max="17" width="9.109375" style="25"/>
    <col min="18" max="18" width="46" style="51" customWidth="1"/>
  </cols>
  <sheetData>
    <row r="3" spans="1:18" x14ac:dyDescent="0.3">
      <c r="D3" s="3" t="s">
        <v>100</v>
      </c>
      <c r="E3" s="3" t="s">
        <v>101</v>
      </c>
      <c r="F3" s="3" t="s">
        <v>102</v>
      </c>
      <c r="G3" s="3" t="s">
        <v>103</v>
      </c>
      <c r="H3" s="3" t="s">
        <v>104</v>
      </c>
      <c r="I3" s="3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  <c r="R3" s="49" t="s">
        <v>152</v>
      </c>
    </row>
    <row r="4" spans="1:18" x14ac:dyDescent="0.3">
      <c r="A4" s="195" t="s">
        <v>99</v>
      </c>
      <c r="B4" s="195"/>
    </row>
    <row r="5" spans="1:18" x14ac:dyDescent="0.3">
      <c r="A5" s="195" t="s">
        <v>1</v>
      </c>
      <c r="B5" s="195"/>
    </row>
    <row r="6" spans="1:18" x14ac:dyDescent="0.3">
      <c r="A6" s="1"/>
      <c r="B6" s="2" t="s">
        <v>2</v>
      </c>
      <c r="D6" s="43"/>
      <c r="E6" s="43"/>
      <c r="F6" s="43"/>
      <c r="G6" s="43"/>
      <c r="H6" s="43"/>
      <c r="I6" s="43"/>
      <c r="P6" s="25">
        <f t="shared" ref="P6:P11" si="0">SUM(D6:O6)</f>
        <v>0</v>
      </c>
    </row>
    <row r="7" spans="1:18" x14ac:dyDescent="0.3">
      <c r="A7" s="1"/>
      <c r="B7" s="2" t="s">
        <v>3</v>
      </c>
      <c r="D7" s="43"/>
      <c r="E7" s="43"/>
      <c r="F7" s="43"/>
      <c r="G7" s="43"/>
      <c r="H7" s="43"/>
      <c r="I7" s="43"/>
      <c r="P7" s="25">
        <f t="shared" si="0"/>
        <v>0</v>
      </c>
    </row>
    <row r="8" spans="1:18" s="42" customFormat="1" x14ac:dyDescent="0.3">
      <c r="A8" s="1"/>
      <c r="B8" s="96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>
        <f t="shared" si="0"/>
        <v>0</v>
      </c>
      <c r="Q8" s="43"/>
      <c r="R8" s="51"/>
    </row>
    <row r="9" spans="1:18" x14ac:dyDescent="0.3">
      <c r="A9" s="1"/>
      <c r="B9" s="2" t="s">
        <v>4</v>
      </c>
      <c r="D9" s="43"/>
      <c r="E9" s="43"/>
      <c r="F9" s="43"/>
      <c r="G9" s="43"/>
      <c r="H9" s="43"/>
      <c r="I9" s="43"/>
      <c r="P9" s="43">
        <f t="shared" si="0"/>
        <v>0</v>
      </c>
    </row>
    <row r="10" spans="1:18" s="42" customFormat="1" x14ac:dyDescent="0.3">
      <c r="A10" s="1"/>
      <c r="B10" s="96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 t="shared" si="0"/>
        <v>0</v>
      </c>
      <c r="Q10" s="43"/>
      <c r="R10" s="51"/>
    </row>
    <row r="11" spans="1:18" x14ac:dyDescent="0.3">
      <c r="A11" s="1"/>
      <c r="B11" s="2" t="s">
        <v>5</v>
      </c>
      <c r="D11" s="43"/>
      <c r="E11" s="43"/>
      <c r="F11" s="43"/>
      <c r="G11" s="43"/>
      <c r="H11" s="43"/>
      <c r="I11" s="43"/>
      <c r="P11" s="25">
        <f t="shared" si="0"/>
        <v>0</v>
      </c>
    </row>
    <row r="12" spans="1:18" x14ac:dyDescent="0.3">
      <c r="A12" s="195" t="s">
        <v>6</v>
      </c>
      <c r="B12" s="195"/>
      <c r="D12" s="28">
        <f t="shared" ref="D12:I12" si="1">SUM(D6:D11)</f>
        <v>0</v>
      </c>
      <c r="E12" s="28">
        <f t="shared" si="1"/>
        <v>0</v>
      </c>
      <c r="F12" s="28">
        <f t="shared" si="1"/>
        <v>0</v>
      </c>
      <c r="G12" s="28">
        <f t="shared" si="1"/>
        <v>0</v>
      </c>
      <c r="H12" s="28">
        <f t="shared" si="1"/>
        <v>0</v>
      </c>
      <c r="I12" s="28">
        <f t="shared" si="1"/>
        <v>0</v>
      </c>
      <c r="J12" s="28">
        <f t="shared" ref="J12:P12" si="2">SUM(J6:J11)</f>
        <v>0</v>
      </c>
      <c r="K12" s="28">
        <f t="shared" si="2"/>
        <v>0</v>
      </c>
      <c r="L12" s="28">
        <f t="shared" si="2"/>
        <v>0</v>
      </c>
      <c r="M12" s="28">
        <f t="shared" si="2"/>
        <v>0</v>
      </c>
      <c r="N12" s="28">
        <f t="shared" si="2"/>
        <v>0</v>
      </c>
      <c r="O12" s="28">
        <f t="shared" si="2"/>
        <v>0</v>
      </c>
      <c r="P12" s="28">
        <f t="shared" si="2"/>
        <v>0</v>
      </c>
      <c r="Q12" s="29">
        <f>P12-P6-P7-P9-P11</f>
        <v>0</v>
      </c>
    </row>
    <row r="13" spans="1:18" x14ac:dyDescent="0.3">
      <c r="A13" s="195" t="s">
        <v>7</v>
      </c>
      <c r="B13" s="195"/>
      <c r="D13" s="43"/>
      <c r="E13" s="43"/>
      <c r="F13" s="43"/>
      <c r="G13" s="43"/>
      <c r="H13" s="43"/>
      <c r="I13" s="43"/>
    </row>
    <row r="14" spans="1:18" x14ac:dyDescent="0.3">
      <c r="A14" s="1"/>
      <c r="B14" s="2" t="s">
        <v>8</v>
      </c>
      <c r="D14" s="43"/>
      <c r="E14" s="43"/>
      <c r="F14" s="43"/>
      <c r="G14" s="43"/>
      <c r="H14" s="43"/>
      <c r="I14" s="43"/>
      <c r="P14" s="25">
        <f>SUM(D14:O14)</f>
        <v>0</v>
      </c>
    </row>
    <row r="15" spans="1:18" x14ac:dyDescent="0.3">
      <c r="A15" s="1"/>
      <c r="B15" s="2" t="s">
        <v>9</v>
      </c>
      <c r="D15" s="43"/>
      <c r="E15" s="43"/>
      <c r="F15" s="43"/>
      <c r="G15" s="43"/>
      <c r="H15" s="43"/>
      <c r="I15" s="43"/>
      <c r="P15" s="25">
        <f>SUM(D15:O15)</f>
        <v>0</v>
      </c>
    </row>
    <row r="16" spans="1:18" x14ac:dyDescent="0.3">
      <c r="A16" s="1"/>
      <c r="B16" s="2" t="s">
        <v>219</v>
      </c>
      <c r="D16" s="43"/>
      <c r="E16" s="43"/>
      <c r="F16" s="43"/>
      <c r="G16" s="43"/>
      <c r="H16" s="43"/>
      <c r="I16" s="43"/>
      <c r="P16" s="25">
        <f>SUM(D16:O16)</f>
        <v>0</v>
      </c>
    </row>
    <row r="17" spans="1:17" x14ac:dyDescent="0.3">
      <c r="A17" s="1"/>
      <c r="B17" s="1" t="s">
        <v>16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>SUM(D17:O17)</f>
        <v>0</v>
      </c>
    </row>
    <row r="18" spans="1:17" x14ac:dyDescent="0.3">
      <c r="A18" s="195" t="s">
        <v>10</v>
      </c>
      <c r="B18" s="195"/>
      <c r="D18" s="28">
        <f t="shared" ref="D18:I18" si="3">SUM(D14:D17)</f>
        <v>0</v>
      </c>
      <c r="E18" s="28">
        <f t="shared" si="3"/>
        <v>0</v>
      </c>
      <c r="F18" s="28">
        <f t="shared" si="3"/>
        <v>0</v>
      </c>
      <c r="G18" s="28">
        <f t="shared" si="3"/>
        <v>0</v>
      </c>
      <c r="H18" s="28">
        <f t="shared" si="3"/>
        <v>0</v>
      </c>
      <c r="I18" s="28">
        <f t="shared" si="3"/>
        <v>0</v>
      </c>
      <c r="J18" s="28">
        <f t="shared" ref="J18:P18" si="4">SUM(J14:J17)</f>
        <v>0</v>
      </c>
      <c r="K18" s="28">
        <f t="shared" si="4"/>
        <v>0</v>
      </c>
      <c r="L18" s="28">
        <f t="shared" si="4"/>
        <v>0</v>
      </c>
      <c r="M18" s="28">
        <f t="shared" si="4"/>
        <v>0</v>
      </c>
      <c r="N18" s="28">
        <f t="shared" si="4"/>
        <v>0</v>
      </c>
      <c r="O18" s="28">
        <f t="shared" si="4"/>
        <v>0</v>
      </c>
      <c r="P18" s="28">
        <f t="shared" si="4"/>
        <v>0</v>
      </c>
      <c r="Q18" s="29">
        <f>P18-P14-P15-P16-P17</f>
        <v>0</v>
      </c>
    </row>
    <row r="19" spans="1:17" x14ac:dyDescent="0.3">
      <c r="A19" s="195" t="s">
        <v>11</v>
      </c>
      <c r="B19" s="195"/>
      <c r="D19" s="43"/>
      <c r="E19" s="43"/>
      <c r="F19" s="43"/>
      <c r="G19" s="43"/>
      <c r="H19" s="43"/>
      <c r="I19" s="43"/>
    </row>
    <row r="20" spans="1:17" x14ac:dyDescent="0.3">
      <c r="A20" s="1"/>
      <c r="B20" s="2" t="s">
        <v>12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350000</v>
      </c>
      <c r="P20" s="43">
        <f t="shared" ref="P20:P25" si="5">SUM(D20:O20)</f>
        <v>350000</v>
      </c>
    </row>
    <row r="21" spans="1:17" x14ac:dyDescent="0.3">
      <c r="A21" s="1"/>
      <c r="B21" s="2" t="s">
        <v>96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>
        <v>395000</v>
      </c>
      <c r="P21" s="43">
        <f t="shared" si="5"/>
        <v>395000</v>
      </c>
    </row>
    <row r="22" spans="1:17" x14ac:dyDescent="0.3">
      <c r="A22" s="1"/>
      <c r="B22" s="2" t="s">
        <v>97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>
        <v>80000</v>
      </c>
      <c r="P22" s="43">
        <f t="shared" si="5"/>
        <v>80000</v>
      </c>
    </row>
    <row r="23" spans="1:17" x14ac:dyDescent="0.3">
      <c r="A23" s="1"/>
      <c r="B23" s="2" t="s">
        <v>202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>
        <v>25000</v>
      </c>
      <c r="P23" s="43">
        <f t="shared" si="5"/>
        <v>25000</v>
      </c>
    </row>
    <row r="24" spans="1:17" x14ac:dyDescent="0.3">
      <c r="A24" s="1"/>
      <c r="B24" s="2" t="s">
        <v>173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>
        <v>10000</v>
      </c>
      <c r="P24" s="43">
        <f t="shared" si="5"/>
        <v>10000</v>
      </c>
    </row>
    <row r="25" spans="1:17" x14ac:dyDescent="0.3">
      <c r="A25" s="1"/>
      <c r="B25" s="52"/>
      <c r="D25" s="43"/>
      <c r="E25" s="43"/>
      <c r="F25" s="43"/>
      <c r="G25" s="43"/>
      <c r="H25" s="43"/>
      <c r="I25" s="43"/>
      <c r="O25" s="43"/>
      <c r="P25" s="43">
        <f t="shared" si="5"/>
        <v>0</v>
      </c>
    </row>
    <row r="26" spans="1:17" x14ac:dyDescent="0.3">
      <c r="A26" s="195" t="s">
        <v>15</v>
      </c>
      <c r="B26" s="195"/>
      <c r="D26" s="28">
        <f t="shared" ref="D26:I26" si="6">SUM(D20:D25)</f>
        <v>0</v>
      </c>
      <c r="E26" s="28">
        <f t="shared" si="6"/>
        <v>0</v>
      </c>
      <c r="F26" s="28">
        <f t="shared" si="6"/>
        <v>0</v>
      </c>
      <c r="G26" s="28">
        <f t="shared" si="6"/>
        <v>0</v>
      </c>
      <c r="H26" s="28">
        <f t="shared" si="6"/>
        <v>0</v>
      </c>
      <c r="I26" s="28">
        <f t="shared" si="6"/>
        <v>0</v>
      </c>
      <c r="J26" s="28">
        <f t="shared" ref="J26:P26" si="7">SUM(J20:J25)</f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8">
        <f t="shared" si="7"/>
        <v>0</v>
      </c>
      <c r="O26" s="28">
        <f t="shared" si="7"/>
        <v>860000</v>
      </c>
      <c r="P26" s="28">
        <f t="shared" si="7"/>
        <v>860000</v>
      </c>
      <c r="Q26" s="29">
        <f>SUM(P20:P25)-P26</f>
        <v>0</v>
      </c>
    </row>
    <row r="27" spans="1:17" x14ac:dyDescent="0.3">
      <c r="A27" s="195" t="s">
        <v>16</v>
      </c>
      <c r="B27" s="195"/>
      <c r="D27" s="43"/>
      <c r="E27" s="43"/>
      <c r="F27" s="43"/>
      <c r="G27" s="43"/>
      <c r="H27" s="43"/>
      <c r="I27" s="43"/>
    </row>
    <row r="28" spans="1:17" x14ac:dyDescent="0.3">
      <c r="A28" s="2" t="s">
        <v>17</v>
      </c>
      <c r="B28" s="2" t="s">
        <v>18</v>
      </c>
      <c r="D28" s="43"/>
      <c r="E28" s="43"/>
      <c r="F28" s="43"/>
      <c r="G28" s="43"/>
      <c r="H28" s="43"/>
      <c r="I28" s="43"/>
      <c r="P28" s="25">
        <f>SUM(D28:O28)</f>
        <v>0</v>
      </c>
    </row>
    <row r="29" spans="1:17" x14ac:dyDescent="0.3">
      <c r="A29" s="2" t="s">
        <v>17</v>
      </c>
      <c r="B29" s="2" t="s">
        <v>19</v>
      </c>
      <c r="D29" s="43"/>
      <c r="E29" s="43"/>
      <c r="F29" s="43"/>
      <c r="G29" s="43"/>
      <c r="H29" s="43"/>
      <c r="I29" s="43"/>
      <c r="P29" s="25">
        <f>SUM(D29:O29)</f>
        <v>0</v>
      </c>
    </row>
    <row r="30" spans="1:17" x14ac:dyDescent="0.3">
      <c r="A30" s="2" t="s">
        <v>17</v>
      </c>
      <c r="B30" s="2" t="s">
        <v>20</v>
      </c>
      <c r="D30" s="43"/>
      <c r="E30" s="43"/>
      <c r="F30" s="43"/>
      <c r="G30" s="43"/>
      <c r="H30" s="43"/>
      <c r="I30" s="43"/>
      <c r="P30" s="25">
        <f>SUM(D30:O30)</f>
        <v>0</v>
      </c>
    </row>
    <row r="31" spans="1:17" x14ac:dyDescent="0.3">
      <c r="A31" s="2" t="s">
        <v>17</v>
      </c>
      <c r="B31" s="2" t="s">
        <v>21</v>
      </c>
      <c r="D31" s="43"/>
      <c r="E31" s="43"/>
      <c r="F31" s="43"/>
      <c r="G31" s="43"/>
      <c r="H31" s="43"/>
      <c r="I31" s="43"/>
      <c r="P31" s="25">
        <f>SUM(D31:O31)</f>
        <v>0</v>
      </c>
    </row>
    <row r="32" spans="1:17" x14ac:dyDescent="0.3">
      <c r="A32" s="1"/>
      <c r="B32" s="1"/>
      <c r="D32" s="30">
        <f t="shared" ref="D32:I32" si="8">D12+D18+D26+D28+D29+D30+D31</f>
        <v>0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0</v>
      </c>
      <c r="J32" s="30">
        <f t="shared" ref="J32:P32" si="9">J12+J18+J26+J28+J29+J30+J31</f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860000</v>
      </c>
      <c r="P32" s="30">
        <f t="shared" si="9"/>
        <v>860000</v>
      </c>
      <c r="Q32" s="29">
        <f>SUM(P28:P31)*P32</f>
        <v>0</v>
      </c>
    </row>
    <row r="33" spans="1:18" x14ac:dyDescent="0.3">
      <c r="A33" s="1"/>
      <c r="B33" s="1"/>
      <c r="D33" s="43"/>
      <c r="E33" s="43"/>
      <c r="F33" s="43"/>
      <c r="G33" s="43"/>
      <c r="H33" s="43"/>
      <c r="I33" s="43"/>
    </row>
    <row r="34" spans="1:18" x14ac:dyDescent="0.3">
      <c r="A34" s="195" t="s">
        <v>22</v>
      </c>
      <c r="B34" s="195"/>
      <c r="D34" s="43"/>
      <c r="E34" s="43"/>
      <c r="F34" s="43"/>
      <c r="G34" s="43"/>
      <c r="H34" s="43"/>
      <c r="I34" s="43"/>
    </row>
    <row r="35" spans="1:18" x14ac:dyDescent="0.3">
      <c r="A35" s="1"/>
      <c r="B35" s="2" t="s">
        <v>23</v>
      </c>
      <c r="D35" s="43">
        <f>Sheet22!I17</f>
        <v>11669.150880000001</v>
      </c>
      <c r="E35" s="43">
        <f>Sheet22!J17</f>
        <v>11669.150880000001</v>
      </c>
      <c r="F35" s="43">
        <f>Sheet22!K17</f>
        <v>17503.726320000005</v>
      </c>
      <c r="G35" s="43">
        <f>Sheet22!L17</f>
        <v>11669.150880000001</v>
      </c>
      <c r="H35" s="43">
        <f>Sheet22!M17</f>
        <v>11669.150880000001</v>
      </c>
      <c r="I35" s="43">
        <f>Sheet22!N17</f>
        <v>11669.150880000001</v>
      </c>
      <c r="J35" s="43">
        <f>Sheet22!O17</f>
        <v>11669.150880000001</v>
      </c>
      <c r="K35" s="43">
        <f>Sheet22!P17</f>
        <v>17503.726320000005</v>
      </c>
      <c r="L35" s="43">
        <f>Sheet22!Q17</f>
        <v>11669.150880000001</v>
      </c>
      <c r="M35" s="43">
        <f>Sheet22!R17</f>
        <v>11669.150880000001</v>
      </c>
      <c r="N35" s="43">
        <f>Sheet22!S17</f>
        <v>11669.150880000001</v>
      </c>
      <c r="O35" s="43">
        <f>Sheet22!T17</f>
        <v>11669.150880000001</v>
      </c>
      <c r="P35" s="41">
        <f>SUM(D35:O35)</f>
        <v>151698.96144000001</v>
      </c>
      <c r="Q35" s="41"/>
      <c r="R35" s="64"/>
    </row>
    <row r="36" spans="1:18" x14ac:dyDescent="0.3">
      <c r="A36" s="1"/>
      <c r="B36" s="2" t="s">
        <v>24</v>
      </c>
      <c r="D36" s="43">
        <f>D35*0.0735</f>
        <v>857.68258967999998</v>
      </c>
      <c r="E36" s="43">
        <f t="shared" ref="E36:O36" si="10">E35*0.0735</f>
        <v>857.68258967999998</v>
      </c>
      <c r="F36" s="43">
        <f t="shared" si="10"/>
        <v>1286.5238845200004</v>
      </c>
      <c r="G36" s="43">
        <f t="shared" si="10"/>
        <v>857.68258967999998</v>
      </c>
      <c r="H36" s="43">
        <f t="shared" si="10"/>
        <v>857.68258967999998</v>
      </c>
      <c r="I36" s="43">
        <f t="shared" si="10"/>
        <v>857.68258967999998</v>
      </c>
      <c r="J36" s="43">
        <f t="shared" si="10"/>
        <v>857.68258967999998</v>
      </c>
      <c r="K36" s="43">
        <f t="shared" si="10"/>
        <v>1286.5238845200004</v>
      </c>
      <c r="L36" s="43">
        <f t="shared" si="10"/>
        <v>857.68258967999998</v>
      </c>
      <c r="M36" s="43">
        <f t="shared" si="10"/>
        <v>857.68258967999998</v>
      </c>
      <c r="N36" s="43">
        <f t="shared" si="10"/>
        <v>857.68258967999998</v>
      </c>
      <c r="O36" s="43">
        <f t="shared" si="10"/>
        <v>857.68258967999998</v>
      </c>
      <c r="P36" s="41">
        <f t="shared" ref="P36:P42" si="11">SUM(D36:O36)</f>
        <v>11149.873665840001</v>
      </c>
      <c r="Q36" s="41"/>
      <c r="R36" s="53"/>
    </row>
    <row r="37" spans="1:18" x14ac:dyDescent="0.3">
      <c r="A37" s="1"/>
      <c r="B37" s="2" t="s">
        <v>25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1">
        <f t="shared" si="11"/>
        <v>0</v>
      </c>
      <c r="Q37" s="41"/>
      <c r="R37" s="53"/>
    </row>
    <row r="38" spans="1:18" x14ac:dyDescent="0.3">
      <c r="A38" s="1"/>
      <c r="B38" s="2" t="s">
        <v>26</v>
      </c>
      <c r="D38" s="43">
        <f>D35*0.120421</f>
        <v>1405.2108181204801</v>
      </c>
      <c r="E38" s="43">
        <f t="shared" ref="E38:O38" si="12">E35*0.120421</f>
        <v>1405.2108181204801</v>
      </c>
      <c r="F38" s="43">
        <f t="shared" si="12"/>
        <v>2107.8162271807205</v>
      </c>
      <c r="G38" s="43">
        <f t="shared" si="12"/>
        <v>1405.2108181204801</v>
      </c>
      <c r="H38" s="43">
        <f t="shared" si="12"/>
        <v>1405.2108181204801</v>
      </c>
      <c r="I38" s="43">
        <f t="shared" si="12"/>
        <v>1405.2108181204801</v>
      </c>
      <c r="J38" s="43">
        <f t="shared" si="12"/>
        <v>1405.2108181204801</v>
      </c>
      <c r="K38" s="43">
        <f t="shared" si="12"/>
        <v>2107.8162271807205</v>
      </c>
      <c r="L38" s="43">
        <f t="shared" si="12"/>
        <v>1405.2108181204801</v>
      </c>
      <c r="M38" s="43">
        <f t="shared" si="12"/>
        <v>1405.2108181204801</v>
      </c>
      <c r="N38" s="43">
        <f t="shared" si="12"/>
        <v>1405.2108181204801</v>
      </c>
      <c r="O38" s="43">
        <f t="shared" si="12"/>
        <v>1405.2108181204801</v>
      </c>
      <c r="P38" s="41">
        <f t="shared" si="11"/>
        <v>18267.740635566239</v>
      </c>
      <c r="Q38" s="41"/>
      <c r="R38" s="53"/>
    </row>
    <row r="39" spans="1:18" x14ac:dyDescent="0.3">
      <c r="A39" s="1"/>
      <c r="B39" s="2" t="s">
        <v>27</v>
      </c>
      <c r="D39" s="43">
        <f>D35*0.0112</f>
        <v>130.69448985600002</v>
      </c>
      <c r="E39" s="43">
        <f t="shared" ref="E39:O39" si="13">E35*0.0112</f>
        <v>130.69448985600002</v>
      </c>
      <c r="F39" s="43">
        <f t="shared" si="13"/>
        <v>196.04173478400006</v>
      </c>
      <c r="G39" s="43">
        <f t="shared" si="13"/>
        <v>130.69448985600002</v>
      </c>
      <c r="H39" s="43">
        <f t="shared" si="13"/>
        <v>130.69448985600002</v>
      </c>
      <c r="I39" s="43">
        <f t="shared" si="13"/>
        <v>130.69448985600002</v>
      </c>
      <c r="J39" s="43">
        <f t="shared" si="13"/>
        <v>130.69448985600002</v>
      </c>
      <c r="K39" s="43">
        <f t="shared" si="13"/>
        <v>196.04173478400006</v>
      </c>
      <c r="L39" s="43">
        <f t="shared" si="13"/>
        <v>130.69448985600002</v>
      </c>
      <c r="M39" s="43">
        <f t="shared" si="13"/>
        <v>130.69448985600002</v>
      </c>
      <c r="N39" s="43">
        <f t="shared" si="13"/>
        <v>130.69448985600002</v>
      </c>
      <c r="O39" s="43">
        <f t="shared" si="13"/>
        <v>130.69448985600002</v>
      </c>
      <c r="P39" s="41">
        <f t="shared" si="11"/>
        <v>1699.0283681280002</v>
      </c>
      <c r="Q39" s="41"/>
      <c r="R39" s="53"/>
    </row>
    <row r="40" spans="1:18" x14ac:dyDescent="0.3">
      <c r="A40" s="1"/>
      <c r="B40" s="2" t="s">
        <v>28</v>
      </c>
      <c r="D40" s="43">
        <f>D35*0.028</f>
        <v>326.73622464000005</v>
      </c>
      <c r="E40" s="43">
        <f t="shared" ref="E40:O40" si="14">E35*0.028</f>
        <v>326.73622464000005</v>
      </c>
      <c r="F40" s="43">
        <f t="shared" si="14"/>
        <v>490.10433696000018</v>
      </c>
      <c r="G40" s="43">
        <f t="shared" si="14"/>
        <v>326.73622464000005</v>
      </c>
      <c r="H40" s="43">
        <f t="shared" si="14"/>
        <v>326.73622464000005</v>
      </c>
      <c r="I40" s="43">
        <f t="shared" si="14"/>
        <v>326.73622464000005</v>
      </c>
      <c r="J40" s="43">
        <f t="shared" si="14"/>
        <v>326.73622464000005</v>
      </c>
      <c r="K40" s="43">
        <f t="shared" si="14"/>
        <v>490.10433696000018</v>
      </c>
      <c r="L40" s="43">
        <f t="shared" si="14"/>
        <v>326.73622464000005</v>
      </c>
      <c r="M40" s="43">
        <f t="shared" si="14"/>
        <v>326.73622464000005</v>
      </c>
      <c r="N40" s="43">
        <f t="shared" si="14"/>
        <v>326.73622464000005</v>
      </c>
      <c r="O40" s="43">
        <f t="shared" si="14"/>
        <v>326.73622464000005</v>
      </c>
      <c r="P40" s="41">
        <f t="shared" si="11"/>
        <v>4247.5709203199995</v>
      </c>
      <c r="Q40" s="41"/>
      <c r="R40" s="53"/>
    </row>
    <row r="41" spans="1:18" x14ac:dyDescent="0.3">
      <c r="A41" s="1"/>
      <c r="B41" s="2" t="s">
        <v>29</v>
      </c>
      <c r="D41" s="43">
        <f>D35*0.01373</f>
        <v>160.2174415824</v>
      </c>
      <c r="E41" s="43">
        <f t="shared" ref="E41:O41" si="15">E35*0.01373</f>
        <v>160.2174415824</v>
      </c>
      <c r="F41" s="43">
        <f t="shared" si="15"/>
        <v>240.32616237360006</v>
      </c>
      <c r="G41" s="43">
        <f t="shared" si="15"/>
        <v>160.2174415824</v>
      </c>
      <c r="H41" s="43">
        <f t="shared" si="15"/>
        <v>160.2174415824</v>
      </c>
      <c r="I41" s="43">
        <f t="shared" si="15"/>
        <v>160.2174415824</v>
      </c>
      <c r="J41" s="43">
        <f t="shared" si="15"/>
        <v>160.2174415824</v>
      </c>
      <c r="K41" s="43">
        <f t="shared" si="15"/>
        <v>240.32616237360006</v>
      </c>
      <c r="L41" s="43">
        <f t="shared" si="15"/>
        <v>160.2174415824</v>
      </c>
      <c r="M41" s="43">
        <f t="shared" si="15"/>
        <v>160.2174415824</v>
      </c>
      <c r="N41" s="43">
        <f t="shared" si="15"/>
        <v>160.2174415824</v>
      </c>
      <c r="O41" s="43">
        <f t="shared" si="15"/>
        <v>160.2174415824</v>
      </c>
      <c r="P41" s="41">
        <f t="shared" si="11"/>
        <v>2082.8267405711999</v>
      </c>
      <c r="Q41" s="41"/>
      <c r="R41" s="53"/>
    </row>
    <row r="42" spans="1:18" x14ac:dyDescent="0.3">
      <c r="A42" s="1"/>
      <c r="B42" s="2" t="s">
        <v>30</v>
      </c>
      <c r="D42" s="43"/>
      <c r="E42" s="43"/>
      <c r="F42" s="43"/>
      <c r="G42" s="43"/>
      <c r="H42" s="43"/>
      <c r="I42" s="43"/>
      <c r="P42" s="25">
        <f t="shared" si="11"/>
        <v>0</v>
      </c>
    </row>
    <row r="43" spans="1:18" x14ac:dyDescent="0.3">
      <c r="A43" s="195" t="s">
        <v>31</v>
      </c>
      <c r="B43" s="195"/>
      <c r="D43" s="28">
        <f t="shared" ref="D43:I43" si="16">SUM(D35:D42)</f>
        <v>14549.692443878881</v>
      </c>
      <c r="E43" s="28">
        <f t="shared" si="16"/>
        <v>14549.692443878881</v>
      </c>
      <c r="F43" s="28">
        <f t="shared" si="16"/>
        <v>21824.538665818327</v>
      </c>
      <c r="G43" s="28">
        <f t="shared" si="16"/>
        <v>14549.692443878881</v>
      </c>
      <c r="H43" s="28">
        <f t="shared" si="16"/>
        <v>14549.692443878881</v>
      </c>
      <c r="I43" s="28">
        <f t="shared" si="16"/>
        <v>14549.692443878881</v>
      </c>
      <c r="J43" s="28">
        <f t="shared" ref="J43:P43" si="17">SUM(J35:J42)</f>
        <v>14549.692443878881</v>
      </c>
      <c r="K43" s="28">
        <f t="shared" si="17"/>
        <v>21824.538665818327</v>
      </c>
      <c r="L43" s="28">
        <f t="shared" si="17"/>
        <v>14549.692443878881</v>
      </c>
      <c r="M43" s="28">
        <f t="shared" si="17"/>
        <v>14549.692443878881</v>
      </c>
      <c r="N43" s="28">
        <f t="shared" si="17"/>
        <v>14549.692443878881</v>
      </c>
      <c r="O43" s="28">
        <f t="shared" si="17"/>
        <v>14549.692443878881</v>
      </c>
      <c r="P43" s="28">
        <f t="shared" si="17"/>
        <v>189146.00177042544</v>
      </c>
      <c r="Q43" s="29">
        <f>SUM(P35:P42)</f>
        <v>189146.00177042544</v>
      </c>
    </row>
    <row r="44" spans="1:18" x14ac:dyDescent="0.3">
      <c r="A44" s="195" t="s">
        <v>32</v>
      </c>
      <c r="B44" s="195"/>
      <c r="D44" s="43"/>
      <c r="E44" s="43"/>
      <c r="F44" s="43"/>
      <c r="G44" s="43"/>
      <c r="H44" s="43"/>
      <c r="I44" s="43"/>
    </row>
    <row r="45" spans="1:18" x14ac:dyDescent="0.3">
      <c r="A45" s="1"/>
      <c r="B45" s="2" t="s">
        <v>33</v>
      </c>
      <c r="D45" s="43"/>
      <c r="E45" s="43"/>
      <c r="F45" s="43"/>
      <c r="G45" s="43"/>
      <c r="H45" s="43"/>
      <c r="I45" s="43"/>
      <c r="P45" s="25">
        <f t="shared" ref="P45:P52" si="18">SUM(D45:O45)</f>
        <v>0</v>
      </c>
    </row>
    <row r="46" spans="1:18" x14ac:dyDescent="0.3">
      <c r="A46" s="1"/>
      <c r="B46" s="2" t="s">
        <v>34</v>
      </c>
      <c r="D46" s="43"/>
      <c r="E46" s="43"/>
      <c r="F46" s="43"/>
      <c r="G46" s="43"/>
      <c r="H46" s="43"/>
      <c r="I46" s="43"/>
      <c r="P46" s="25">
        <f t="shared" si="18"/>
        <v>0</v>
      </c>
    </row>
    <row r="47" spans="1:18" x14ac:dyDescent="0.3">
      <c r="A47" s="1"/>
      <c r="B47" s="2" t="s">
        <v>35</v>
      </c>
      <c r="D47" s="43"/>
      <c r="E47" s="43"/>
      <c r="F47" s="43"/>
      <c r="G47" s="43"/>
      <c r="H47" s="43"/>
      <c r="I47" s="43"/>
      <c r="P47" s="25">
        <f t="shared" si="18"/>
        <v>0</v>
      </c>
    </row>
    <row r="48" spans="1:18" x14ac:dyDescent="0.3">
      <c r="A48" s="1"/>
      <c r="B48" s="2" t="s">
        <v>36</v>
      </c>
      <c r="D48" s="43"/>
      <c r="E48" s="43"/>
      <c r="F48" s="43"/>
      <c r="G48" s="43"/>
      <c r="H48" s="43"/>
      <c r="I48" s="43"/>
      <c r="P48" s="25">
        <f t="shared" si="18"/>
        <v>0</v>
      </c>
    </row>
    <row r="49" spans="1:18" x14ac:dyDescent="0.3">
      <c r="A49" s="1"/>
      <c r="B49" s="2" t="s">
        <v>37</v>
      </c>
      <c r="D49" s="43"/>
      <c r="E49" s="43"/>
      <c r="F49" s="43"/>
      <c r="G49" s="43"/>
      <c r="H49" s="43"/>
      <c r="I49" s="43"/>
      <c r="P49" s="25">
        <f t="shared" si="18"/>
        <v>0</v>
      </c>
    </row>
    <row r="50" spans="1:18" s="42" customFormat="1" x14ac:dyDescent="0.3">
      <c r="A50" s="1"/>
      <c r="B50" s="93" t="s">
        <v>194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>
        <f t="shared" si="18"/>
        <v>0</v>
      </c>
      <c r="Q50" s="43"/>
      <c r="R50" s="51"/>
    </row>
    <row r="51" spans="1:18" x14ac:dyDescent="0.3">
      <c r="A51" s="1"/>
      <c r="B51" s="2" t="s">
        <v>38</v>
      </c>
      <c r="D51" s="43"/>
      <c r="E51" s="43"/>
      <c r="F51" s="43"/>
      <c r="G51" s="43"/>
      <c r="H51" s="43"/>
      <c r="I51" s="43"/>
      <c r="P51" s="25">
        <f t="shared" si="18"/>
        <v>0</v>
      </c>
    </row>
    <row r="52" spans="1:18" x14ac:dyDescent="0.3">
      <c r="A52" s="1"/>
      <c r="B52" s="2" t="s">
        <v>39</v>
      </c>
      <c r="D52" s="43"/>
      <c r="E52" s="43"/>
      <c r="F52" s="43"/>
      <c r="G52" s="43"/>
      <c r="H52" s="43"/>
      <c r="I52" s="43"/>
      <c r="P52" s="25">
        <f t="shared" si="18"/>
        <v>0</v>
      </c>
    </row>
    <row r="53" spans="1:18" x14ac:dyDescent="0.3">
      <c r="A53" s="195" t="s">
        <v>40</v>
      </c>
      <c r="B53" s="195"/>
      <c r="D53" s="28">
        <f t="shared" ref="D53:I53" si="19">SUM(D45:D52)</f>
        <v>0</v>
      </c>
      <c r="E53" s="28">
        <f t="shared" si="19"/>
        <v>0</v>
      </c>
      <c r="F53" s="28">
        <f t="shared" si="19"/>
        <v>0</v>
      </c>
      <c r="G53" s="28">
        <f t="shared" si="19"/>
        <v>0</v>
      </c>
      <c r="H53" s="28">
        <f t="shared" si="19"/>
        <v>0</v>
      </c>
      <c r="I53" s="28">
        <f t="shared" si="19"/>
        <v>0</v>
      </c>
      <c r="J53" s="28">
        <f t="shared" ref="J53:P53" si="20">SUM(J45:J52)</f>
        <v>0</v>
      </c>
      <c r="K53" s="28">
        <f t="shared" si="20"/>
        <v>0</v>
      </c>
      <c r="L53" s="28">
        <f t="shared" si="20"/>
        <v>0</v>
      </c>
      <c r="M53" s="28">
        <f t="shared" si="20"/>
        <v>0</v>
      </c>
      <c r="N53" s="28">
        <f t="shared" si="20"/>
        <v>0</v>
      </c>
      <c r="O53" s="28">
        <f t="shared" si="20"/>
        <v>0</v>
      </c>
      <c r="P53" s="28">
        <f t="shared" si="20"/>
        <v>0</v>
      </c>
      <c r="Q53" s="29">
        <f>SUM(P52)-P53</f>
        <v>0</v>
      </c>
    </row>
    <row r="54" spans="1:18" x14ac:dyDescent="0.3">
      <c r="A54" s="195" t="s">
        <v>41</v>
      </c>
      <c r="B54" s="195"/>
      <c r="D54" s="43"/>
      <c r="E54" s="43"/>
      <c r="F54" s="43"/>
      <c r="G54" s="43"/>
      <c r="H54" s="43"/>
      <c r="I54" s="43"/>
    </row>
    <row r="55" spans="1:18" ht="57.6" x14ac:dyDescent="0.3">
      <c r="A55" s="1"/>
      <c r="B55" s="2" t="s">
        <v>42</v>
      </c>
      <c r="D55" s="43">
        <f t="shared" ref="D55:M56" si="21">E55</f>
        <v>4375</v>
      </c>
      <c r="E55" s="43">
        <f t="shared" si="21"/>
        <v>4375</v>
      </c>
      <c r="F55" s="43">
        <f t="shared" si="21"/>
        <v>4375</v>
      </c>
      <c r="G55" s="43">
        <f t="shared" si="21"/>
        <v>4375</v>
      </c>
      <c r="H55" s="43">
        <f t="shared" si="21"/>
        <v>4375</v>
      </c>
      <c r="I55" s="43">
        <f t="shared" si="21"/>
        <v>4375</v>
      </c>
      <c r="J55" s="43">
        <f t="shared" si="21"/>
        <v>4375</v>
      </c>
      <c r="K55" s="43">
        <f t="shared" si="21"/>
        <v>4375</v>
      </c>
      <c r="L55" s="43">
        <f t="shared" si="21"/>
        <v>4375</v>
      </c>
      <c r="M55" s="43">
        <f t="shared" si="21"/>
        <v>4375</v>
      </c>
      <c r="N55" s="25">
        <f>O55</f>
        <v>4375</v>
      </c>
      <c r="O55" s="43">
        <f>P55/12</f>
        <v>4375</v>
      </c>
      <c r="P55" s="149">
        <v>52500</v>
      </c>
      <c r="Q55" s="41"/>
      <c r="R55" s="51" t="s">
        <v>203</v>
      </c>
    </row>
    <row r="56" spans="1:18" x14ac:dyDescent="0.3">
      <c r="A56" s="1"/>
      <c r="B56" s="2" t="s">
        <v>43</v>
      </c>
      <c r="D56" s="43">
        <f t="shared" si="21"/>
        <v>41.666666666666664</v>
      </c>
      <c r="E56" s="43">
        <f t="shared" si="21"/>
        <v>41.666666666666664</v>
      </c>
      <c r="F56" s="43">
        <f t="shared" si="21"/>
        <v>41.666666666666664</v>
      </c>
      <c r="G56" s="43">
        <f t="shared" si="21"/>
        <v>41.666666666666664</v>
      </c>
      <c r="H56" s="43">
        <f t="shared" si="21"/>
        <v>41.666666666666664</v>
      </c>
      <c r="I56" s="43">
        <f t="shared" si="21"/>
        <v>41.666666666666664</v>
      </c>
      <c r="J56" s="43">
        <f t="shared" si="21"/>
        <v>41.666666666666664</v>
      </c>
      <c r="K56" s="43">
        <f t="shared" si="21"/>
        <v>41.666666666666664</v>
      </c>
      <c r="L56" s="43">
        <f t="shared" si="21"/>
        <v>41.666666666666664</v>
      </c>
      <c r="M56" s="43">
        <f t="shared" si="21"/>
        <v>41.666666666666664</v>
      </c>
      <c r="N56" s="43">
        <f>O56</f>
        <v>41.666666666666664</v>
      </c>
      <c r="O56" s="43">
        <f>P56/12</f>
        <v>41.666666666666664</v>
      </c>
      <c r="P56" s="25">
        <v>500</v>
      </c>
      <c r="Q56" s="41"/>
    </row>
    <row r="57" spans="1:18" x14ac:dyDescent="0.3">
      <c r="A57" s="1"/>
      <c r="B57" s="2" t="s">
        <v>44</v>
      </c>
      <c r="D57" s="43">
        <f t="shared" ref="D57:N57" si="22">E57</f>
        <v>125</v>
      </c>
      <c r="E57" s="43">
        <f t="shared" si="22"/>
        <v>125</v>
      </c>
      <c r="F57" s="43">
        <f t="shared" si="22"/>
        <v>125</v>
      </c>
      <c r="G57" s="43">
        <f t="shared" si="22"/>
        <v>125</v>
      </c>
      <c r="H57" s="43">
        <f t="shared" si="22"/>
        <v>125</v>
      </c>
      <c r="I57" s="43">
        <f t="shared" si="22"/>
        <v>125</v>
      </c>
      <c r="J57" s="43">
        <f t="shared" si="22"/>
        <v>125</v>
      </c>
      <c r="K57" s="43">
        <f t="shared" si="22"/>
        <v>125</v>
      </c>
      <c r="L57" s="43">
        <f t="shared" si="22"/>
        <v>125</v>
      </c>
      <c r="M57" s="43">
        <f t="shared" si="22"/>
        <v>125</v>
      </c>
      <c r="N57" s="43">
        <f t="shared" si="22"/>
        <v>125</v>
      </c>
      <c r="O57" s="43">
        <f>P57/12</f>
        <v>125</v>
      </c>
      <c r="P57" s="25">
        <v>1500</v>
      </c>
      <c r="Q57" s="41"/>
      <c r="R57" s="51" t="s">
        <v>175</v>
      </c>
    </row>
    <row r="58" spans="1:18" x14ac:dyDescent="0.3">
      <c r="A58" s="1"/>
      <c r="B58" s="2" t="s">
        <v>45</v>
      </c>
      <c r="D58" s="43">
        <f>3500/12</f>
        <v>291.66666666666669</v>
      </c>
      <c r="E58" s="43">
        <f t="shared" ref="E58:O58" si="23">3500/12</f>
        <v>291.66666666666669</v>
      </c>
      <c r="F58" s="43">
        <f t="shared" si="23"/>
        <v>291.66666666666669</v>
      </c>
      <c r="G58" s="43">
        <f t="shared" si="23"/>
        <v>291.66666666666669</v>
      </c>
      <c r="H58" s="43">
        <f t="shared" si="23"/>
        <v>291.66666666666669</v>
      </c>
      <c r="I58" s="43">
        <f t="shared" si="23"/>
        <v>291.66666666666669</v>
      </c>
      <c r="J58" s="43">
        <f t="shared" si="23"/>
        <v>291.66666666666669</v>
      </c>
      <c r="K58" s="43">
        <f t="shared" si="23"/>
        <v>291.66666666666669</v>
      </c>
      <c r="L58" s="43">
        <f t="shared" si="23"/>
        <v>291.66666666666669</v>
      </c>
      <c r="M58" s="43">
        <f t="shared" si="23"/>
        <v>291.66666666666669</v>
      </c>
      <c r="N58" s="43">
        <f t="shared" si="23"/>
        <v>291.66666666666669</v>
      </c>
      <c r="O58" s="43">
        <f t="shared" si="23"/>
        <v>291.66666666666669</v>
      </c>
      <c r="P58" s="25">
        <f>SUM(D58:O58)</f>
        <v>3499.9999999999995</v>
      </c>
      <c r="Q58" s="41"/>
      <c r="R58" s="51" t="s">
        <v>174</v>
      </c>
    </row>
    <row r="59" spans="1:18" ht="28.8" x14ac:dyDescent="0.3">
      <c r="A59" s="1"/>
      <c r="B59" s="2" t="s">
        <v>46</v>
      </c>
      <c r="D59" s="43">
        <f t="shared" ref="D59:M59" si="24">E59</f>
        <v>83.333333333333329</v>
      </c>
      <c r="E59" s="43">
        <f t="shared" si="24"/>
        <v>83.333333333333329</v>
      </c>
      <c r="F59" s="43">
        <f t="shared" si="24"/>
        <v>83.333333333333329</v>
      </c>
      <c r="G59" s="43">
        <f t="shared" si="24"/>
        <v>83.333333333333329</v>
      </c>
      <c r="H59" s="43">
        <f t="shared" si="24"/>
        <v>83.333333333333329</v>
      </c>
      <c r="I59" s="43">
        <f t="shared" si="24"/>
        <v>83.333333333333329</v>
      </c>
      <c r="J59" s="43">
        <f t="shared" si="24"/>
        <v>83.333333333333329</v>
      </c>
      <c r="K59" s="43">
        <f t="shared" si="24"/>
        <v>83.333333333333329</v>
      </c>
      <c r="L59" s="43">
        <f t="shared" si="24"/>
        <v>83.333333333333329</v>
      </c>
      <c r="M59" s="43">
        <f t="shared" si="24"/>
        <v>83.333333333333329</v>
      </c>
      <c r="N59" s="43">
        <f>O59</f>
        <v>83.333333333333329</v>
      </c>
      <c r="O59" s="43">
        <f>P59/12</f>
        <v>83.333333333333329</v>
      </c>
      <c r="P59" s="25">
        <v>1000</v>
      </c>
      <c r="Q59" s="41"/>
      <c r="R59" s="51" t="s">
        <v>199</v>
      </c>
    </row>
    <row r="60" spans="1:18" x14ac:dyDescent="0.3">
      <c r="A60" s="1"/>
      <c r="B60" s="2" t="s">
        <v>47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25">
        <v>0</v>
      </c>
      <c r="Q60" s="41"/>
    </row>
    <row r="61" spans="1:18" ht="28.8" x14ac:dyDescent="0.3">
      <c r="A61" s="1"/>
      <c r="B61" s="2" t="s">
        <v>48</v>
      </c>
      <c r="D61" s="43">
        <f t="shared" ref="D61:M61" si="25">E61</f>
        <v>208.33333333333334</v>
      </c>
      <c r="E61" s="43">
        <f t="shared" si="25"/>
        <v>208.33333333333334</v>
      </c>
      <c r="F61" s="43">
        <f t="shared" si="25"/>
        <v>208.33333333333334</v>
      </c>
      <c r="G61" s="43">
        <f t="shared" si="25"/>
        <v>208.33333333333334</v>
      </c>
      <c r="H61" s="43">
        <f t="shared" si="25"/>
        <v>208.33333333333334</v>
      </c>
      <c r="I61" s="43">
        <f t="shared" si="25"/>
        <v>208.33333333333334</v>
      </c>
      <c r="J61" s="43">
        <f t="shared" si="25"/>
        <v>208.33333333333334</v>
      </c>
      <c r="K61" s="43">
        <f t="shared" si="25"/>
        <v>208.33333333333334</v>
      </c>
      <c r="L61" s="43">
        <f t="shared" si="25"/>
        <v>208.33333333333334</v>
      </c>
      <c r="M61" s="43">
        <f t="shared" si="25"/>
        <v>208.33333333333334</v>
      </c>
      <c r="N61" s="43">
        <f>O61</f>
        <v>208.33333333333334</v>
      </c>
      <c r="O61" s="43">
        <f>P61/12</f>
        <v>208.33333333333334</v>
      </c>
      <c r="P61" s="25">
        <v>2500</v>
      </c>
      <c r="Q61" s="41"/>
      <c r="R61" s="51" t="s">
        <v>198</v>
      </c>
    </row>
    <row r="62" spans="1:18" x14ac:dyDescent="0.3">
      <c r="A62" s="1"/>
      <c r="B62" s="2" t="s">
        <v>49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Q62" s="41"/>
    </row>
    <row r="63" spans="1:18" x14ac:dyDescent="0.3">
      <c r="A63" s="1"/>
      <c r="B63" s="2" t="s">
        <v>50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25">
        <f>SUM(D62:O62)</f>
        <v>0</v>
      </c>
      <c r="Q63" s="41"/>
      <c r="R63" s="51" t="s">
        <v>200</v>
      </c>
    </row>
    <row r="64" spans="1:18" x14ac:dyDescent="0.3">
      <c r="A64" s="1"/>
      <c r="B64" s="2" t="s">
        <v>51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25">
        <f t="shared" ref="P64:P83" si="26">SUM(D64:O64)</f>
        <v>0</v>
      </c>
      <c r="Q64" s="41"/>
    </row>
    <row r="65" spans="1:18" x14ac:dyDescent="0.3">
      <c r="A65" s="1"/>
      <c r="B65" s="2" t="s">
        <v>52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5">
        <f t="shared" si="26"/>
        <v>0</v>
      </c>
      <c r="Q65" s="41"/>
    </row>
    <row r="66" spans="1:18" x14ac:dyDescent="0.3">
      <c r="A66" s="1"/>
      <c r="B66" s="2" t="s">
        <v>53</v>
      </c>
      <c r="D66" s="43">
        <f t="shared" ref="D66:M66" si="27">E66</f>
        <v>83.333333333333329</v>
      </c>
      <c r="E66" s="43">
        <f t="shared" si="27"/>
        <v>83.333333333333329</v>
      </c>
      <c r="F66" s="43">
        <f t="shared" si="27"/>
        <v>83.333333333333329</v>
      </c>
      <c r="G66" s="43">
        <f t="shared" si="27"/>
        <v>83.333333333333329</v>
      </c>
      <c r="H66" s="43">
        <f t="shared" si="27"/>
        <v>83.333333333333329</v>
      </c>
      <c r="I66" s="43">
        <f t="shared" si="27"/>
        <v>83.333333333333329</v>
      </c>
      <c r="J66" s="43">
        <f t="shared" si="27"/>
        <v>83.333333333333329</v>
      </c>
      <c r="K66" s="43">
        <f t="shared" si="27"/>
        <v>83.333333333333329</v>
      </c>
      <c r="L66" s="43">
        <f t="shared" si="27"/>
        <v>83.333333333333329</v>
      </c>
      <c r="M66" s="43">
        <f t="shared" si="27"/>
        <v>83.333333333333329</v>
      </c>
      <c r="N66" s="43">
        <f>O66</f>
        <v>83.333333333333329</v>
      </c>
      <c r="O66" s="43">
        <f>P66/12</f>
        <v>83.333333333333329</v>
      </c>
      <c r="P66" s="25">
        <v>1000</v>
      </c>
      <c r="Q66" s="41"/>
    </row>
    <row r="67" spans="1:18" x14ac:dyDescent="0.3">
      <c r="A67" s="1"/>
      <c r="B67" s="2" t="s">
        <v>54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25">
        <f t="shared" si="26"/>
        <v>0</v>
      </c>
      <c r="Q67" s="41"/>
    </row>
    <row r="68" spans="1:18" x14ac:dyDescent="0.3">
      <c r="A68" s="1"/>
      <c r="B68" s="2" t="s">
        <v>55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Q68" s="41"/>
    </row>
    <row r="69" spans="1:18" x14ac:dyDescent="0.3">
      <c r="A69" s="1"/>
      <c r="B69" s="2" t="s">
        <v>56</v>
      </c>
      <c r="D69" s="43">
        <f t="shared" ref="D69:N69" si="28">E69</f>
        <v>235.33333333333334</v>
      </c>
      <c r="E69" s="43">
        <f t="shared" si="28"/>
        <v>235.33333333333334</v>
      </c>
      <c r="F69" s="43">
        <f t="shared" si="28"/>
        <v>235.33333333333334</v>
      </c>
      <c r="G69" s="43">
        <f t="shared" si="28"/>
        <v>235.33333333333334</v>
      </c>
      <c r="H69" s="43">
        <f t="shared" si="28"/>
        <v>235.33333333333334</v>
      </c>
      <c r="I69" s="43">
        <f t="shared" si="28"/>
        <v>235.33333333333334</v>
      </c>
      <c r="J69" s="43">
        <f t="shared" si="28"/>
        <v>235.33333333333334</v>
      </c>
      <c r="K69" s="43">
        <f t="shared" si="28"/>
        <v>235.33333333333334</v>
      </c>
      <c r="L69" s="43">
        <f t="shared" si="28"/>
        <v>235.33333333333334</v>
      </c>
      <c r="M69" s="43">
        <f t="shared" si="28"/>
        <v>235.33333333333334</v>
      </c>
      <c r="N69" s="43">
        <f t="shared" si="28"/>
        <v>235.33333333333334</v>
      </c>
      <c r="O69" s="43">
        <f>P69/12</f>
        <v>235.33333333333334</v>
      </c>
      <c r="P69" s="41">
        <v>2824</v>
      </c>
      <c r="Q69" s="41"/>
      <c r="R69" s="53" t="s">
        <v>201</v>
      </c>
    </row>
    <row r="70" spans="1:18" x14ac:dyDescent="0.3">
      <c r="A70" s="1"/>
      <c r="B70" s="2" t="s">
        <v>57</v>
      </c>
      <c r="D70" s="43">
        <f t="shared" ref="D70:N70" si="29">E70</f>
        <v>83.333333333333329</v>
      </c>
      <c r="E70" s="43">
        <f t="shared" si="29"/>
        <v>83.333333333333329</v>
      </c>
      <c r="F70" s="43">
        <f t="shared" si="29"/>
        <v>83.333333333333329</v>
      </c>
      <c r="G70" s="43">
        <f t="shared" si="29"/>
        <v>83.333333333333329</v>
      </c>
      <c r="H70" s="43">
        <f t="shared" si="29"/>
        <v>83.333333333333329</v>
      </c>
      <c r="I70" s="43">
        <f t="shared" si="29"/>
        <v>83.333333333333329</v>
      </c>
      <c r="J70" s="43">
        <f t="shared" si="29"/>
        <v>83.333333333333329</v>
      </c>
      <c r="K70" s="43">
        <f t="shared" si="29"/>
        <v>83.333333333333329</v>
      </c>
      <c r="L70" s="43">
        <f t="shared" si="29"/>
        <v>83.333333333333329</v>
      </c>
      <c r="M70" s="43">
        <f t="shared" si="29"/>
        <v>83.333333333333329</v>
      </c>
      <c r="N70" s="43">
        <f t="shared" si="29"/>
        <v>83.333333333333329</v>
      </c>
      <c r="O70" s="43">
        <f>P70/12</f>
        <v>83.333333333333329</v>
      </c>
      <c r="P70" s="25">
        <v>1000</v>
      </c>
      <c r="Q70" s="41"/>
      <c r="R70" s="100" t="s">
        <v>209</v>
      </c>
    </row>
    <row r="71" spans="1:18" x14ac:dyDescent="0.3">
      <c r="A71" s="1"/>
      <c r="B71" s="2" t="s">
        <v>58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25">
        <f t="shared" si="26"/>
        <v>0</v>
      </c>
      <c r="Q71" s="41"/>
    </row>
    <row r="72" spans="1:18" x14ac:dyDescent="0.3">
      <c r="A72" s="1"/>
      <c r="B72" s="2" t="s">
        <v>59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25">
        <f t="shared" si="26"/>
        <v>0</v>
      </c>
      <c r="Q72" s="41"/>
    </row>
    <row r="73" spans="1:18" x14ac:dyDescent="0.3">
      <c r="A73" s="1"/>
      <c r="B73" s="2" t="s">
        <v>60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25">
        <f t="shared" si="26"/>
        <v>0</v>
      </c>
      <c r="Q73" s="41"/>
    </row>
    <row r="74" spans="1:18" x14ac:dyDescent="0.3">
      <c r="A74" s="1"/>
      <c r="B74" s="2" t="s">
        <v>61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>SUM(D74:O74)</f>
        <v>0</v>
      </c>
      <c r="Q74" s="41"/>
    </row>
    <row r="75" spans="1:18" s="58" customFormat="1" x14ac:dyDescent="0.3">
      <c r="A75" s="56"/>
      <c r="B75" s="57" t="s">
        <v>62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1">
        <f t="shared" si="26"/>
        <v>0</v>
      </c>
      <c r="Q75" s="41"/>
      <c r="R75" s="53"/>
    </row>
    <row r="76" spans="1:18" x14ac:dyDescent="0.3">
      <c r="A76" s="1"/>
      <c r="B76" s="2" t="s">
        <v>63</v>
      </c>
      <c r="D76" s="43">
        <v>400</v>
      </c>
      <c r="E76" s="43">
        <v>400</v>
      </c>
      <c r="F76" s="43">
        <v>400</v>
      </c>
      <c r="G76" s="43">
        <v>400</v>
      </c>
      <c r="H76" s="43">
        <v>400</v>
      </c>
      <c r="I76" s="43">
        <v>400</v>
      </c>
      <c r="J76" s="43">
        <v>400</v>
      </c>
      <c r="K76" s="43">
        <v>400</v>
      </c>
      <c r="L76" s="43">
        <v>400</v>
      </c>
      <c r="M76" s="43">
        <v>400</v>
      </c>
      <c r="N76" s="43">
        <v>400</v>
      </c>
      <c r="O76" s="43">
        <v>400</v>
      </c>
      <c r="P76" s="41">
        <f>SUM(D76:O76)</f>
        <v>4800</v>
      </c>
      <c r="Q76" s="41"/>
      <c r="R76" s="99" t="s">
        <v>208</v>
      </c>
    </row>
    <row r="77" spans="1:18" x14ac:dyDescent="0.3">
      <c r="A77" s="2" t="s">
        <v>17</v>
      </c>
      <c r="B77" s="2" t="s">
        <v>64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25">
        <f t="shared" si="26"/>
        <v>0</v>
      </c>
      <c r="Q77" s="41"/>
    </row>
    <row r="78" spans="1:18" x14ac:dyDescent="0.3">
      <c r="A78" s="1"/>
      <c r="B78" s="2" t="s">
        <v>65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25">
        <v>0</v>
      </c>
      <c r="Q78" s="41"/>
    </row>
    <row r="79" spans="1:18" x14ac:dyDescent="0.3">
      <c r="A79" s="1"/>
      <c r="B79" s="1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25">
        <f t="shared" si="26"/>
        <v>0</v>
      </c>
      <c r="Q79" s="41"/>
    </row>
    <row r="80" spans="1:18" x14ac:dyDescent="0.3">
      <c r="A80" s="1"/>
      <c r="B80" s="2"/>
      <c r="D80" s="43"/>
      <c r="E80" s="43"/>
      <c r="F80" s="43"/>
      <c r="G80" s="43"/>
      <c r="H80" s="43"/>
      <c r="I80" s="43"/>
      <c r="P80" s="25">
        <f t="shared" si="26"/>
        <v>0</v>
      </c>
      <c r="Q80" s="41"/>
    </row>
    <row r="81" spans="1:17" x14ac:dyDescent="0.3">
      <c r="A81" s="1"/>
      <c r="B81" s="2"/>
      <c r="D81" s="43"/>
      <c r="E81" s="43"/>
      <c r="F81" s="43"/>
      <c r="G81" s="43"/>
      <c r="H81" s="43"/>
      <c r="I81" s="43"/>
      <c r="P81" s="25">
        <f t="shared" si="26"/>
        <v>0</v>
      </c>
      <c r="Q81" s="41"/>
    </row>
    <row r="82" spans="1:17" x14ac:dyDescent="0.3">
      <c r="A82" s="1"/>
      <c r="B82" s="2"/>
      <c r="D82" s="43"/>
      <c r="E82" s="43"/>
      <c r="F82" s="43"/>
      <c r="G82" s="43"/>
      <c r="H82" s="43"/>
      <c r="I82" s="43"/>
      <c r="P82" s="25">
        <f t="shared" si="26"/>
        <v>0</v>
      </c>
      <c r="Q82" s="41"/>
    </row>
    <row r="83" spans="1:17" x14ac:dyDescent="0.3">
      <c r="A83" s="1"/>
      <c r="B83" s="2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f t="shared" si="26"/>
        <v>0</v>
      </c>
      <c r="Q83" s="41"/>
    </row>
    <row r="84" spans="1:17" x14ac:dyDescent="0.3">
      <c r="A84" s="195" t="s">
        <v>66</v>
      </c>
      <c r="B84" s="195"/>
      <c r="D84" s="28">
        <f t="shared" ref="D84:I84" si="30">SUM(D56:D83)</f>
        <v>1552</v>
      </c>
      <c r="E84" s="28">
        <f t="shared" si="30"/>
        <v>1552</v>
      </c>
      <c r="F84" s="28">
        <f t="shared" si="30"/>
        <v>1552</v>
      </c>
      <c r="G84" s="28">
        <f t="shared" si="30"/>
        <v>1552</v>
      </c>
      <c r="H84" s="28">
        <f t="shared" si="30"/>
        <v>1552</v>
      </c>
      <c r="I84" s="28">
        <f t="shared" si="30"/>
        <v>1552</v>
      </c>
      <c r="J84" s="28">
        <f t="shared" ref="J84:O84" si="31">SUM(J56:J83)</f>
        <v>1552</v>
      </c>
      <c r="K84" s="28">
        <f t="shared" si="31"/>
        <v>1552</v>
      </c>
      <c r="L84" s="28">
        <f t="shared" si="31"/>
        <v>1552</v>
      </c>
      <c r="M84" s="28">
        <f t="shared" si="31"/>
        <v>1552</v>
      </c>
      <c r="N84" s="28">
        <f t="shared" si="31"/>
        <v>1552</v>
      </c>
      <c r="O84" s="28">
        <f t="shared" si="31"/>
        <v>1552</v>
      </c>
      <c r="P84" s="28">
        <f>SUM(P55:P83)</f>
        <v>71124</v>
      </c>
      <c r="Q84" s="29"/>
    </row>
    <row r="85" spans="1:17" x14ac:dyDescent="0.3">
      <c r="A85" s="195" t="s">
        <v>67</v>
      </c>
      <c r="B85" s="195"/>
      <c r="D85" s="43"/>
      <c r="E85" s="43"/>
      <c r="F85" s="43"/>
      <c r="G85" s="43"/>
      <c r="H85" s="43"/>
      <c r="I85" s="43"/>
    </row>
    <row r="86" spans="1:17" x14ac:dyDescent="0.3">
      <c r="A86" s="1"/>
      <c r="B86" s="2" t="s">
        <v>68</v>
      </c>
      <c r="D86" s="43"/>
      <c r="E86" s="43"/>
      <c r="F86" s="43"/>
      <c r="G86" s="43"/>
      <c r="H86" s="43"/>
      <c r="I86" s="43"/>
      <c r="P86" s="25">
        <f t="shared" ref="P86:P104" si="32">SUM(D86:O86)</f>
        <v>0</v>
      </c>
    </row>
    <row r="87" spans="1:17" x14ac:dyDescent="0.3">
      <c r="A87" s="1"/>
      <c r="B87" s="2" t="s">
        <v>69</v>
      </c>
      <c r="D87" s="43"/>
      <c r="E87" s="43"/>
      <c r="F87" s="43"/>
      <c r="G87" s="43"/>
      <c r="H87" s="43"/>
      <c r="I87" s="43"/>
      <c r="P87" s="25">
        <f t="shared" si="32"/>
        <v>0</v>
      </c>
    </row>
    <row r="88" spans="1:17" x14ac:dyDescent="0.3">
      <c r="A88" s="1"/>
      <c r="B88" s="2" t="s">
        <v>70</v>
      </c>
      <c r="D88" s="43"/>
      <c r="E88" s="43"/>
      <c r="F88" s="43"/>
      <c r="G88" s="43"/>
      <c r="H88" s="43"/>
      <c r="I88" s="43"/>
      <c r="P88" s="25">
        <f t="shared" si="32"/>
        <v>0</v>
      </c>
    </row>
    <row r="89" spans="1:17" x14ac:dyDescent="0.3">
      <c r="A89" s="1"/>
      <c r="B89" s="2" t="s">
        <v>71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25">
        <f t="shared" si="32"/>
        <v>0</v>
      </c>
    </row>
    <row r="90" spans="1:17" x14ac:dyDescent="0.3">
      <c r="A90" s="1"/>
      <c r="B90" s="2" t="s">
        <v>72</v>
      </c>
      <c r="D90" s="43"/>
      <c r="E90" s="43"/>
      <c r="F90" s="43"/>
      <c r="G90" s="43"/>
      <c r="H90" s="43"/>
      <c r="I90" s="43"/>
      <c r="P90" s="25">
        <f t="shared" si="32"/>
        <v>0</v>
      </c>
    </row>
    <row r="91" spans="1:17" x14ac:dyDescent="0.3">
      <c r="A91" s="1"/>
      <c r="B91" s="2" t="s">
        <v>73</v>
      </c>
      <c r="D91" s="43"/>
      <c r="E91" s="43"/>
      <c r="F91" s="43"/>
      <c r="G91" s="43"/>
      <c r="H91" s="43"/>
      <c r="I91" s="43"/>
      <c r="P91" s="25">
        <f t="shared" si="32"/>
        <v>0</v>
      </c>
    </row>
    <row r="92" spans="1:17" x14ac:dyDescent="0.3">
      <c r="A92" s="1"/>
      <c r="B92" s="2" t="s">
        <v>74</v>
      </c>
      <c r="D92" s="43"/>
      <c r="E92" s="43"/>
      <c r="F92" s="43"/>
      <c r="G92" s="43"/>
      <c r="H92" s="43"/>
      <c r="I92" s="43"/>
      <c r="P92" s="25">
        <f t="shared" si="32"/>
        <v>0</v>
      </c>
    </row>
    <row r="93" spans="1:17" x14ac:dyDescent="0.3">
      <c r="A93" s="1"/>
      <c r="B93" s="2" t="s">
        <v>75</v>
      </c>
      <c r="D93" s="43"/>
      <c r="E93" s="43"/>
      <c r="F93" s="43"/>
      <c r="G93" s="43"/>
      <c r="H93" s="43"/>
      <c r="I93" s="43"/>
      <c r="P93" s="25">
        <f t="shared" si="32"/>
        <v>0</v>
      </c>
    </row>
    <row r="94" spans="1:17" x14ac:dyDescent="0.3">
      <c r="A94" s="1"/>
      <c r="B94" s="2" t="s">
        <v>76</v>
      </c>
      <c r="D94" s="43"/>
      <c r="E94" s="43"/>
      <c r="F94" s="43"/>
      <c r="G94" s="43"/>
      <c r="H94" s="43"/>
      <c r="I94" s="43"/>
      <c r="P94" s="25">
        <f t="shared" si="32"/>
        <v>0</v>
      </c>
    </row>
    <row r="95" spans="1:17" x14ac:dyDescent="0.3">
      <c r="A95" s="1"/>
      <c r="B95" s="2" t="s">
        <v>77</v>
      </c>
      <c r="D95" s="43"/>
      <c r="E95" s="43"/>
      <c r="F95" s="43"/>
      <c r="G95" s="43"/>
      <c r="H95" s="43"/>
      <c r="I95" s="43"/>
      <c r="P95" s="25">
        <f t="shared" si="32"/>
        <v>0</v>
      </c>
    </row>
    <row r="96" spans="1:17" x14ac:dyDescent="0.3">
      <c r="A96" s="1"/>
      <c r="B96" s="2" t="s">
        <v>78</v>
      </c>
      <c r="D96" s="43"/>
      <c r="E96" s="43"/>
      <c r="F96" s="43"/>
      <c r="G96" s="43"/>
      <c r="H96" s="43"/>
      <c r="I96" s="43"/>
      <c r="P96" s="25">
        <f t="shared" si="32"/>
        <v>0</v>
      </c>
    </row>
    <row r="97" spans="1:17" x14ac:dyDescent="0.3">
      <c r="A97" s="1"/>
      <c r="B97" s="2" t="s">
        <v>79</v>
      </c>
      <c r="D97" s="43"/>
      <c r="E97" s="43"/>
      <c r="F97" s="43"/>
      <c r="G97" s="43"/>
      <c r="H97" s="43"/>
      <c r="I97" s="43"/>
      <c r="P97" s="25">
        <f t="shared" si="32"/>
        <v>0</v>
      </c>
    </row>
    <row r="98" spans="1:17" x14ac:dyDescent="0.3">
      <c r="A98" s="1"/>
      <c r="B98" s="2" t="s">
        <v>80</v>
      </c>
      <c r="D98" s="43"/>
      <c r="E98" s="43"/>
      <c r="F98" s="43"/>
      <c r="G98" s="43"/>
      <c r="H98" s="43"/>
      <c r="I98" s="43"/>
      <c r="P98" s="25">
        <f t="shared" si="32"/>
        <v>0</v>
      </c>
    </row>
    <row r="99" spans="1:17" x14ac:dyDescent="0.3">
      <c r="A99" s="1"/>
      <c r="B99" s="2" t="s">
        <v>81</v>
      </c>
      <c r="D99" s="43"/>
      <c r="E99" s="43"/>
      <c r="F99" s="43"/>
      <c r="G99" s="43"/>
      <c r="H99" s="43"/>
      <c r="I99" s="43"/>
      <c r="P99" s="25">
        <f t="shared" si="32"/>
        <v>0</v>
      </c>
    </row>
    <row r="100" spans="1:17" x14ac:dyDescent="0.3">
      <c r="A100" s="1"/>
      <c r="B100" s="2" t="s">
        <v>82</v>
      </c>
      <c r="D100" s="43"/>
      <c r="E100" s="43"/>
      <c r="F100" s="43"/>
      <c r="G100" s="43"/>
      <c r="H100" s="43"/>
      <c r="I100" s="43"/>
      <c r="P100" s="25">
        <f t="shared" si="32"/>
        <v>0</v>
      </c>
    </row>
    <row r="101" spans="1:17" x14ac:dyDescent="0.3">
      <c r="A101" s="1"/>
      <c r="B101" s="2" t="s">
        <v>83</v>
      </c>
      <c r="D101" s="43"/>
      <c r="E101" s="43"/>
      <c r="F101" s="43"/>
      <c r="G101" s="43"/>
      <c r="H101" s="43"/>
      <c r="I101" s="43"/>
      <c r="P101" s="25">
        <f t="shared" si="32"/>
        <v>0</v>
      </c>
    </row>
    <row r="102" spans="1:17" x14ac:dyDescent="0.3">
      <c r="A102" s="1"/>
      <c r="B102" s="1"/>
      <c r="D102" s="43"/>
      <c r="E102" s="43"/>
      <c r="F102" s="43"/>
      <c r="G102" s="43"/>
      <c r="H102" s="43"/>
      <c r="I102" s="43"/>
      <c r="P102" s="25">
        <f t="shared" si="32"/>
        <v>0</v>
      </c>
    </row>
    <row r="103" spans="1:17" x14ac:dyDescent="0.3">
      <c r="A103" s="1"/>
      <c r="B103" s="2"/>
      <c r="D103" s="43"/>
      <c r="E103" s="43"/>
      <c r="F103" s="43"/>
      <c r="G103" s="43"/>
      <c r="H103" s="43"/>
      <c r="I103" s="43"/>
      <c r="P103" s="25">
        <f t="shared" si="32"/>
        <v>0</v>
      </c>
    </row>
    <row r="104" spans="1:17" x14ac:dyDescent="0.3">
      <c r="A104" s="1"/>
      <c r="B104" s="2"/>
      <c r="D104" s="43"/>
      <c r="E104" s="43"/>
      <c r="F104" s="43"/>
      <c r="G104" s="43"/>
      <c r="H104" s="43"/>
      <c r="I104" s="43"/>
      <c r="P104" s="25">
        <f t="shared" si="32"/>
        <v>0</v>
      </c>
    </row>
    <row r="105" spans="1:17" x14ac:dyDescent="0.3">
      <c r="A105" s="195" t="s">
        <v>84</v>
      </c>
      <c r="B105" s="195"/>
      <c r="D105" s="30">
        <f t="shared" ref="D105:I105" si="33">SUM(D86:D104)</f>
        <v>0</v>
      </c>
      <c r="E105" s="30">
        <f t="shared" si="33"/>
        <v>0</v>
      </c>
      <c r="F105" s="30">
        <f t="shared" si="33"/>
        <v>0</v>
      </c>
      <c r="G105" s="30">
        <f t="shared" si="33"/>
        <v>0</v>
      </c>
      <c r="H105" s="30">
        <f t="shared" si="33"/>
        <v>0</v>
      </c>
      <c r="I105" s="30">
        <f t="shared" si="33"/>
        <v>0</v>
      </c>
      <c r="J105" s="30">
        <f t="shared" ref="J105:P105" si="34">SUM(J86:J104)</f>
        <v>0</v>
      </c>
      <c r="K105" s="30">
        <f t="shared" si="34"/>
        <v>0</v>
      </c>
      <c r="L105" s="30">
        <f t="shared" si="34"/>
        <v>0</v>
      </c>
      <c r="M105" s="30">
        <f t="shared" si="34"/>
        <v>0</v>
      </c>
      <c r="N105" s="30">
        <f t="shared" si="34"/>
        <v>0</v>
      </c>
      <c r="O105" s="30">
        <f t="shared" si="34"/>
        <v>0</v>
      </c>
      <c r="P105" s="30">
        <f t="shared" si="34"/>
        <v>0</v>
      </c>
      <c r="Q105" s="29">
        <f>SUM(P86:P104)-P105</f>
        <v>0</v>
      </c>
    </row>
    <row r="106" spans="1:17" x14ac:dyDescent="0.3">
      <c r="A106" s="1"/>
      <c r="B106" s="2" t="s">
        <v>85</v>
      </c>
      <c r="D106" s="30">
        <f t="shared" ref="D106:I106" si="35">D105+D84+D53+D43</f>
        <v>16101.692443878881</v>
      </c>
      <c r="E106" s="30">
        <f t="shared" si="35"/>
        <v>16101.692443878881</v>
      </c>
      <c r="F106" s="30">
        <f t="shared" si="35"/>
        <v>23376.538665818327</v>
      </c>
      <c r="G106" s="30">
        <f t="shared" si="35"/>
        <v>16101.692443878881</v>
      </c>
      <c r="H106" s="30">
        <f t="shared" si="35"/>
        <v>16101.692443878881</v>
      </c>
      <c r="I106" s="30">
        <f t="shared" si="35"/>
        <v>16101.692443878881</v>
      </c>
      <c r="J106" s="30">
        <f t="shared" ref="J106:P106" si="36">J105+J84+J53+J43</f>
        <v>16101.692443878881</v>
      </c>
      <c r="K106" s="30">
        <f t="shared" si="36"/>
        <v>23376.538665818327</v>
      </c>
      <c r="L106" s="30">
        <f t="shared" si="36"/>
        <v>16101.692443878881</v>
      </c>
      <c r="M106" s="30">
        <f t="shared" si="36"/>
        <v>16101.692443878881</v>
      </c>
      <c r="N106" s="30">
        <f t="shared" si="36"/>
        <v>16101.692443878881</v>
      </c>
      <c r="O106" s="30">
        <f t="shared" si="36"/>
        <v>16101.692443878881</v>
      </c>
      <c r="P106" s="30">
        <f t="shared" si="36"/>
        <v>260270.00177042544</v>
      </c>
    </row>
    <row r="107" spans="1:17" x14ac:dyDescent="0.3">
      <c r="A107" s="1"/>
      <c r="B107" s="2" t="s">
        <v>86</v>
      </c>
      <c r="D107" s="43"/>
      <c r="E107" s="43"/>
      <c r="F107" s="43"/>
      <c r="G107" s="43"/>
      <c r="H107" s="43"/>
      <c r="I107" s="43"/>
    </row>
    <row r="108" spans="1:17" x14ac:dyDescent="0.3">
      <c r="D108" s="43"/>
      <c r="E108" s="43"/>
      <c r="F108" s="43"/>
      <c r="G108" s="43"/>
      <c r="H108" s="43"/>
      <c r="I108" s="43"/>
    </row>
    <row r="109" spans="1:17" ht="15" thickBot="1" x14ac:dyDescent="0.35">
      <c r="B109" t="s">
        <v>112</v>
      </c>
      <c r="D109" s="31"/>
      <c r="E109" s="31">
        <f>E32-E106-E107</f>
        <v>-16101.692443878881</v>
      </c>
      <c r="F109" s="31">
        <f>F32-F106-F107</f>
        <v>-23376.538665818327</v>
      </c>
      <c r="G109" s="31">
        <f>G32-G106-G107</f>
        <v>-16101.692443878881</v>
      </c>
      <c r="H109" s="31">
        <f>H32-H106-H107</f>
        <v>-16101.692443878881</v>
      </c>
      <c r="I109" s="31">
        <f>I32-I106-I107</f>
        <v>-16101.692443878881</v>
      </c>
      <c r="J109" s="31">
        <f t="shared" ref="J109:P109" si="37">J32-J106-J107</f>
        <v>-16101.692443878881</v>
      </c>
      <c r="K109" s="31">
        <f t="shared" si="37"/>
        <v>-23376.538665818327</v>
      </c>
      <c r="L109" s="31">
        <f t="shared" si="37"/>
        <v>-16101.692443878881</v>
      </c>
      <c r="M109" s="31">
        <f t="shared" si="37"/>
        <v>-16101.692443878881</v>
      </c>
      <c r="N109" s="31">
        <f t="shared" si="37"/>
        <v>-16101.692443878881</v>
      </c>
      <c r="O109" s="31">
        <f t="shared" si="37"/>
        <v>843898.30755612114</v>
      </c>
      <c r="P109" s="31">
        <f t="shared" si="37"/>
        <v>599729.99822957453</v>
      </c>
      <c r="Q109" s="39">
        <f>SUM(P106/P32)</f>
        <v>0.30263953694235518</v>
      </c>
    </row>
    <row r="110" spans="1:17" ht="15" thickTop="1" x14ac:dyDescent="0.3"/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09"/>
  <sheetViews>
    <sheetView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D35" sqref="D35:O35"/>
    </sheetView>
  </sheetViews>
  <sheetFormatPr defaultRowHeight="14.4" x14ac:dyDescent="0.3"/>
  <cols>
    <col min="2" max="2" width="29.88671875" customWidth="1"/>
    <col min="3" max="3" width="1.88671875" customWidth="1"/>
  </cols>
  <sheetData>
    <row r="3" spans="1:17" x14ac:dyDescent="0.3">
      <c r="D3" s="3" t="s">
        <v>100</v>
      </c>
      <c r="E3" s="3" t="s">
        <v>101</v>
      </c>
      <c r="F3" s="3" t="s">
        <v>102</v>
      </c>
      <c r="G3" s="3" t="s">
        <v>103</v>
      </c>
      <c r="H3" s="3" t="s">
        <v>104</v>
      </c>
      <c r="I3" s="3" t="s">
        <v>105</v>
      </c>
      <c r="J3" s="3" t="s">
        <v>106</v>
      </c>
      <c r="K3" s="3" t="s">
        <v>107</v>
      </c>
      <c r="L3" s="3" t="s">
        <v>108</v>
      </c>
      <c r="M3" s="3" t="s">
        <v>109</v>
      </c>
      <c r="N3" s="3" t="s">
        <v>110</v>
      </c>
      <c r="O3" s="3" t="s">
        <v>111</v>
      </c>
      <c r="P3" s="6" t="s">
        <v>113</v>
      </c>
    </row>
    <row r="4" spans="1:17" x14ac:dyDescent="0.3">
      <c r="A4" s="195" t="s">
        <v>99</v>
      </c>
      <c r="B4" s="195"/>
    </row>
    <row r="5" spans="1:17" x14ac:dyDescent="0.3">
      <c r="A5" s="195" t="s">
        <v>1</v>
      </c>
      <c r="B5" s="195"/>
    </row>
    <row r="6" spans="1:17" x14ac:dyDescent="0.3">
      <c r="A6" s="1"/>
      <c r="B6" s="94" t="s">
        <v>2</v>
      </c>
      <c r="P6">
        <f>SUM(D6:O6)</f>
        <v>0</v>
      </c>
    </row>
    <row r="7" spans="1:17" x14ac:dyDescent="0.3">
      <c r="A7" s="1"/>
      <c r="B7" s="94" t="s">
        <v>204</v>
      </c>
      <c r="P7">
        <f>SUM(D7:O7)</f>
        <v>0</v>
      </c>
    </row>
    <row r="8" spans="1:17" s="42" customFormat="1" x14ac:dyDescent="0.3">
      <c r="A8" s="1"/>
      <c r="B8" s="94" t="s">
        <v>205</v>
      </c>
    </row>
    <row r="9" spans="1:17" x14ac:dyDescent="0.3">
      <c r="A9" s="1"/>
      <c r="B9" s="94" t="s">
        <v>4</v>
      </c>
      <c r="P9">
        <f>SUM(D9:O9)</f>
        <v>0</v>
      </c>
    </row>
    <row r="10" spans="1:17" s="42" customFormat="1" x14ac:dyDescent="0.3">
      <c r="A10" s="1"/>
      <c r="B10" s="94" t="s">
        <v>206</v>
      </c>
    </row>
    <row r="11" spans="1:17" x14ac:dyDescent="0.3">
      <c r="A11" s="1"/>
      <c r="B11" s="94" t="s">
        <v>207</v>
      </c>
      <c r="P11">
        <f>SUM(D11:O11)</f>
        <v>0</v>
      </c>
    </row>
    <row r="12" spans="1:17" x14ac:dyDescent="0.3">
      <c r="A12" s="195" t="s">
        <v>6</v>
      </c>
      <c r="B12" s="195"/>
      <c r="D12" s="4">
        <f>SUM(D6:D11)</f>
        <v>0</v>
      </c>
      <c r="E12" s="4">
        <f t="shared" ref="E12:P12" si="0">SUM(E6:E11)</f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8">
        <f>P12-P6-P7-P9-P11</f>
        <v>0</v>
      </c>
    </row>
    <row r="13" spans="1:17" x14ac:dyDescent="0.3">
      <c r="A13" s="195" t="s">
        <v>7</v>
      </c>
      <c r="B13" s="195"/>
    </row>
    <row r="14" spans="1:17" x14ac:dyDescent="0.3">
      <c r="A14" s="1"/>
      <c r="B14" s="97" t="s">
        <v>8</v>
      </c>
      <c r="P14">
        <f>SUM(D14:O14)</f>
        <v>0</v>
      </c>
    </row>
    <row r="15" spans="1:17" x14ac:dyDescent="0.3">
      <c r="A15" s="1"/>
      <c r="B15" s="97" t="s">
        <v>9</v>
      </c>
      <c r="P15">
        <f>SUM(D15:O15)</f>
        <v>0</v>
      </c>
    </row>
    <row r="16" spans="1:17" x14ac:dyDescent="0.3">
      <c r="A16" s="1"/>
      <c r="B16" s="97" t="s">
        <v>219</v>
      </c>
      <c r="P16">
        <f>SUM(D16:O16)</f>
        <v>0</v>
      </c>
    </row>
    <row r="17" spans="1:17" x14ac:dyDescent="0.3">
      <c r="A17" s="1"/>
      <c r="B17" s="66" t="s">
        <v>16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f>SUM(D17:O17)</f>
        <v>0</v>
      </c>
    </row>
    <row r="18" spans="1:17" x14ac:dyDescent="0.3">
      <c r="A18" s="195" t="s">
        <v>10</v>
      </c>
      <c r="B18" s="195"/>
      <c r="D18" s="4">
        <f>SUM(D14:D17)</f>
        <v>0</v>
      </c>
      <c r="E18" s="4">
        <f t="shared" ref="E18:P18" si="1">SUM(E14:E17)</f>
        <v>0</v>
      </c>
      <c r="F18" s="4">
        <f t="shared" si="1"/>
        <v>0</v>
      </c>
      <c r="G18" s="4">
        <f t="shared" si="1"/>
        <v>0</v>
      </c>
      <c r="H18" s="4">
        <f t="shared" si="1"/>
        <v>0</v>
      </c>
      <c r="I18" s="4">
        <f t="shared" si="1"/>
        <v>0</v>
      </c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0</v>
      </c>
      <c r="N18" s="4">
        <f t="shared" si="1"/>
        <v>0</v>
      </c>
      <c r="O18" s="4">
        <f t="shared" si="1"/>
        <v>0</v>
      </c>
      <c r="P18" s="4">
        <f t="shared" si="1"/>
        <v>0</v>
      </c>
      <c r="Q18" s="8">
        <f>P18-P14-P15-P16-P17</f>
        <v>0</v>
      </c>
    </row>
    <row r="19" spans="1:17" x14ac:dyDescent="0.3">
      <c r="A19" s="195" t="s">
        <v>11</v>
      </c>
      <c r="B19" s="195"/>
    </row>
    <row r="20" spans="1:17" x14ac:dyDescent="0.3">
      <c r="A20" s="1"/>
      <c r="B20" s="2" t="s">
        <v>12</v>
      </c>
      <c r="P20">
        <f t="shared" ref="P20:P25" si="2">SUM(D20:O20)</f>
        <v>0</v>
      </c>
    </row>
    <row r="21" spans="1:17" x14ac:dyDescent="0.3">
      <c r="A21" s="1"/>
      <c r="B21" s="2" t="s">
        <v>96</v>
      </c>
      <c r="P21">
        <f t="shared" si="2"/>
        <v>0</v>
      </c>
    </row>
    <row r="22" spans="1:17" x14ac:dyDescent="0.3">
      <c r="A22" s="1"/>
      <c r="B22" s="2" t="s">
        <v>97</v>
      </c>
      <c r="P22">
        <f t="shared" si="2"/>
        <v>0</v>
      </c>
    </row>
    <row r="23" spans="1:17" x14ac:dyDescent="0.3">
      <c r="A23" s="1"/>
      <c r="B23" s="2" t="s">
        <v>13</v>
      </c>
      <c r="P23">
        <f t="shared" si="2"/>
        <v>0</v>
      </c>
    </row>
    <row r="24" spans="1:17" x14ac:dyDescent="0.3">
      <c r="A24" s="1"/>
      <c r="B24" s="2" t="s">
        <v>14</v>
      </c>
      <c r="P24">
        <f t="shared" si="2"/>
        <v>0</v>
      </c>
    </row>
    <row r="25" spans="1:17" x14ac:dyDescent="0.3">
      <c r="A25" s="1"/>
      <c r="B25" s="1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f t="shared" si="2"/>
        <v>0</v>
      </c>
    </row>
    <row r="26" spans="1:17" x14ac:dyDescent="0.3">
      <c r="A26" s="195" t="s">
        <v>15</v>
      </c>
      <c r="B26" s="195"/>
      <c r="D26" s="4">
        <f>SUM(D20:D25)</f>
        <v>0</v>
      </c>
      <c r="E26" s="4">
        <f t="shared" ref="E26:P26" si="3">SUM(E20:E25)</f>
        <v>0</v>
      </c>
      <c r="F26" s="4">
        <f t="shared" si="3"/>
        <v>0</v>
      </c>
      <c r="G26" s="4">
        <f t="shared" si="3"/>
        <v>0</v>
      </c>
      <c r="H26" s="4">
        <f t="shared" si="3"/>
        <v>0</v>
      </c>
      <c r="I26" s="4">
        <f t="shared" si="3"/>
        <v>0</v>
      </c>
      <c r="J26" s="4">
        <f t="shared" si="3"/>
        <v>0</v>
      </c>
      <c r="K26" s="4">
        <f t="shared" si="3"/>
        <v>0</v>
      </c>
      <c r="L26" s="4">
        <f t="shared" si="3"/>
        <v>0</v>
      </c>
      <c r="M26" s="4">
        <f t="shared" si="3"/>
        <v>0</v>
      </c>
      <c r="N26" s="4">
        <f t="shared" si="3"/>
        <v>0</v>
      </c>
      <c r="O26" s="4">
        <f t="shared" si="3"/>
        <v>0</v>
      </c>
      <c r="P26" s="4">
        <f t="shared" si="3"/>
        <v>0</v>
      </c>
      <c r="Q26" s="8">
        <f>SUM(P20:P25)-P26</f>
        <v>0</v>
      </c>
    </row>
    <row r="27" spans="1:17" x14ac:dyDescent="0.3">
      <c r="A27" s="195" t="s">
        <v>16</v>
      </c>
      <c r="B27" s="195"/>
    </row>
    <row r="28" spans="1:17" x14ac:dyDescent="0.3">
      <c r="A28" s="2" t="s">
        <v>17</v>
      </c>
      <c r="B28" s="2" t="s">
        <v>18</v>
      </c>
      <c r="P28">
        <f>SUM(D28:O28)</f>
        <v>0</v>
      </c>
    </row>
    <row r="29" spans="1:17" x14ac:dyDescent="0.3">
      <c r="A29" s="2" t="s">
        <v>17</v>
      </c>
      <c r="B29" s="2" t="s">
        <v>19</v>
      </c>
      <c r="P29">
        <f>SUM(D29:O29)</f>
        <v>0</v>
      </c>
    </row>
    <row r="30" spans="1:17" x14ac:dyDescent="0.3">
      <c r="A30" s="2" t="s">
        <v>17</v>
      </c>
      <c r="B30" s="2" t="s">
        <v>20</v>
      </c>
      <c r="I30" s="42"/>
      <c r="J30" s="42"/>
      <c r="K30" s="42"/>
      <c r="L30" s="42"/>
      <c r="M30" s="42"/>
      <c r="N30" s="42"/>
      <c r="O30" s="42"/>
      <c r="P30">
        <f>SUM(D30:O30)</f>
        <v>0</v>
      </c>
    </row>
    <row r="31" spans="1:17" x14ac:dyDescent="0.3">
      <c r="A31" s="2" t="s">
        <v>17</v>
      </c>
      <c r="B31" s="2" t="s">
        <v>21</v>
      </c>
      <c r="P31">
        <f>SUM(D31:O31)</f>
        <v>0</v>
      </c>
    </row>
    <row r="32" spans="1:17" x14ac:dyDescent="0.3">
      <c r="A32" s="1"/>
      <c r="B32" s="1"/>
      <c r="D32" s="5">
        <f>D12+D18+D26+D28+D29+D30+D31</f>
        <v>0</v>
      </c>
      <c r="E32" s="5">
        <f t="shared" ref="E32:P32" si="4">E12+E18+E26+E28+E29+E30+E31</f>
        <v>0</v>
      </c>
      <c r="F32" s="5">
        <f t="shared" si="4"/>
        <v>0</v>
      </c>
      <c r="G32" s="5">
        <f t="shared" si="4"/>
        <v>0</v>
      </c>
      <c r="H32" s="5">
        <f t="shared" si="4"/>
        <v>0</v>
      </c>
      <c r="I32" s="5">
        <f t="shared" si="4"/>
        <v>0</v>
      </c>
      <c r="J32" s="5">
        <f t="shared" si="4"/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>
        <f t="shared" si="4"/>
        <v>0</v>
      </c>
      <c r="O32" s="5">
        <f t="shared" si="4"/>
        <v>0</v>
      </c>
      <c r="P32" s="5">
        <f t="shared" si="4"/>
        <v>0</v>
      </c>
      <c r="Q32" s="8">
        <f>SUM(P28:P31)*P32</f>
        <v>0</v>
      </c>
    </row>
    <row r="33" spans="1:17" x14ac:dyDescent="0.3">
      <c r="A33" s="1"/>
      <c r="B33" s="1"/>
    </row>
    <row r="34" spans="1:17" x14ac:dyDescent="0.3">
      <c r="A34" s="195" t="s">
        <v>22</v>
      </c>
      <c r="B34" s="195"/>
    </row>
    <row r="35" spans="1:17" x14ac:dyDescent="0.3">
      <c r="A35" s="1"/>
      <c r="B35" s="2" t="s">
        <v>23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>
        <f t="shared" ref="P35:P42" si="5">SUM(D35:O35)</f>
        <v>0</v>
      </c>
    </row>
    <row r="36" spans="1:17" x14ac:dyDescent="0.3">
      <c r="A36" s="1"/>
      <c r="B36" s="2" t="s">
        <v>24</v>
      </c>
      <c r="D36" s="43">
        <f>D35*0.0755</f>
        <v>0</v>
      </c>
      <c r="E36" s="43">
        <f t="shared" ref="E36:O36" si="6">E35*0.0755</f>
        <v>0</v>
      </c>
      <c r="F36" s="43">
        <f t="shared" si="6"/>
        <v>0</v>
      </c>
      <c r="G36" s="43">
        <f t="shared" si="6"/>
        <v>0</v>
      </c>
      <c r="H36" s="43">
        <f t="shared" si="6"/>
        <v>0</v>
      </c>
      <c r="I36" s="43">
        <f t="shared" si="6"/>
        <v>0</v>
      </c>
      <c r="J36" s="43">
        <f t="shared" si="6"/>
        <v>0</v>
      </c>
      <c r="K36" s="43">
        <f t="shared" si="6"/>
        <v>0</v>
      </c>
      <c r="L36" s="43">
        <f t="shared" si="6"/>
        <v>0</v>
      </c>
      <c r="M36" s="43">
        <f t="shared" si="6"/>
        <v>0</v>
      </c>
      <c r="N36" s="43">
        <f t="shared" si="6"/>
        <v>0</v>
      </c>
      <c r="O36" s="43">
        <f t="shared" si="6"/>
        <v>0</v>
      </c>
      <c r="P36" s="43">
        <f t="shared" si="5"/>
        <v>0</v>
      </c>
    </row>
    <row r="37" spans="1:17" x14ac:dyDescent="0.3">
      <c r="A37" s="1"/>
      <c r="B37" s="2" t="s">
        <v>25</v>
      </c>
      <c r="D37" s="43">
        <f>D35*0.013</f>
        <v>0</v>
      </c>
      <c r="E37" s="43">
        <f t="shared" ref="E37:O37" si="7">E35*0.013</f>
        <v>0</v>
      </c>
      <c r="F37" s="43">
        <f t="shared" si="7"/>
        <v>0</v>
      </c>
      <c r="G37" s="43">
        <f t="shared" si="7"/>
        <v>0</v>
      </c>
      <c r="H37" s="43">
        <f t="shared" si="7"/>
        <v>0</v>
      </c>
      <c r="I37" s="43">
        <f t="shared" si="7"/>
        <v>0</v>
      </c>
      <c r="J37" s="43">
        <f t="shared" si="7"/>
        <v>0</v>
      </c>
      <c r="K37" s="43">
        <f t="shared" si="7"/>
        <v>0</v>
      </c>
      <c r="L37" s="43">
        <f t="shared" si="7"/>
        <v>0</v>
      </c>
      <c r="M37" s="43">
        <f t="shared" si="7"/>
        <v>0</v>
      </c>
      <c r="N37" s="43">
        <f t="shared" si="7"/>
        <v>0</v>
      </c>
      <c r="O37" s="43">
        <f t="shared" si="7"/>
        <v>0</v>
      </c>
      <c r="P37" s="43">
        <f t="shared" si="5"/>
        <v>0</v>
      </c>
    </row>
    <row r="38" spans="1:17" x14ac:dyDescent="0.3">
      <c r="A38" s="1"/>
      <c r="B38" s="2" t="s">
        <v>26</v>
      </c>
      <c r="D38" s="43">
        <f>D35*0.0894</f>
        <v>0</v>
      </c>
      <c r="E38" s="43">
        <f t="shared" ref="E38:O38" si="8">E35*0.0894</f>
        <v>0</v>
      </c>
      <c r="F38" s="43">
        <f t="shared" si="8"/>
        <v>0</v>
      </c>
      <c r="G38" s="43">
        <f t="shared" si="8"/>
        <v>0</v>
      </c>
      <c r="H38" s="43">
        <f t="shared" si="8"/>
        <v>0</v>
      </c>
      <c r="I38" s="43">
        <f t="shared" si="8"/>
        <v>0</v>
      </c>
      <c r="J38" s="43">
        <f t="shared" si="8"/>
        <v>0</v>
      </c>
      <c r="K38" s="43">
        <f t="shared" si="8"/>
        <v>0</v>
      </c>
      <c r="L38" s="43">
        <f t="shared" si="8"/>
        <v>0</v>
      </c>
      <c r="M38" s="43">
        <f t="shared" si="8"/>
        <v>0</v>
      </c>
      <c r="N38" s="43">
        <f t="shared" si="8"/>
        <v>0</v>
      </c>
      <c r="O38" s="43">
        <f t="shared" si="8"/>
        <v>0</v>
      </c>
      <c r="P38" s="43">
        <f t="shared" si="5"/>
        <v>0</v>
      </c>
    </row>
    <row r="39" spans="1:17" x14ac:dyDescent="0.3">
      <c r="A39" s="1"/>
      <c r="B39" s="2" t="s">
        <v>27</v>
      </c>
      <c r="D39" s="43">
        <f t="shared" ref="D39:O39" si="9">D35*0.0087</f>
        <v>0</v>
      </c>
      <c r="E39" s="43">
        <f t="shared" si="9"/>
        <v>0</v>
      </c>
      <c r="F39" s="43">
        <f t="shared" si="9"/>
        <v>0</v>
      </c>
      <c r="G39" s="43">
        <f t="shared" si="9"/>
        <v>0</v>
      </c>
      <c r="H39" s="43">
        <f t="shared" si="9"/>
        <v>0</v>
      </c>
      <c r="I39" s="43">
        <f t="shared" si="9"/>
        <v>0</v>
      </c>
      <c r="J39" s="43">
        <f t="shared" si="9"/>
        <v>0</v>
      </c>
      <c r="K39" s="43">
        <f t="shared" si="9"/>
        <v>0</v>
      </c>
      <c r="L39" s="43">
        <f t="shared" si="9"/>
        <v>0</v>
      </c>
      <c r="M39" s="43">
        <f t="shared" si="9"/>
        <v>0</v>
      </c>
      <c r="N39" s="43">
        <f t="shared" si="9"/>
        <v>0</v>
      </c>
      <c r="O39" s="43">
        <f t="shared" si="9"/>
        <v>0</v>
      </c>
      <c r="P39" s="43">
        <f t="shared" si="5"/>
        <v>0</v>
      </c>
    </row>
    <row r="40" spans="1:17" x14ac:dyDescent="0.3">
      <c r="A40" s="1"/>
      <c r="B40" s="2" t="s">
        <v>28</v>
      </c>
      <c r="D40" s="43">
        <f>D35*0.021</f>
        <v>0</v>
      </c>
      <c r="E40" s="43">
        <f t="shared" ref="E40:O40" si="10">E35*0.021</f>
        <v>0</v>
      </c>
      <c r="F40" s="43">
        <f t="shared" si="10"/>
        <v>0</v>
      </c>
      <c r="G40" s="43">
        <f t="shared" si="10"/>
        <v>0</v>
      </c>
      <c r="H40" s="43">
        <f t="shared" si="10"/>
        <v>0</v>
      </c>
      <c r="I40" s="43">
        <f t="shared" si="10"/>
        <v>0</v>
      </c>
      <c r="J40" s="43">
        <f t="shared" si="10"/>
        <v>0</v>
      </c>
      <c r="K40" s="43">
        <f t="shared" si="10"/>
        <v>0</v>
      </c>
      <c r="L40" s="43">
        <f t="shared" si="10"/>
        <v>0</v>
      </c>
      <c r="M40" s="43">
        <f t="shared" si="10"/>
        <v>0</v>
      </c>
      <c r="N40" s="43">
        <f t="shared" si="10"/>
        <v>0</v>
      </c>
      <c r="O40" s="43">
        <f t="shared" si="10"/>
        <v>0</v>
      </c>
      <c r="P40" s="43">
        <f t="shared" si="5"/>
        <v>0</v>
      </c>
    </row>
    <row r="41" spans="1:17" x14ac:dyDescent="0.3">
      <c r="A41" s="1"/>
      <c r="B41" s="2" t="s">
        <v>29</v>
      </c>
      <c r="D41" s="43">
        <f>D35*0.019</f>
        <v>0</v>
      </c>
      <c r="E41" s="43">
        <f t="shared" ref="E41:O41" si="11">E35*0.019</f>
        <v>0</v>
      </c>
      <c r="F41" s="43">
        <f t="shared" si="11"/>
        <v>0</v>
      </c>
      <c r="G41" s="43">
        <f t="shared" si="11"/>
        <v>0</v>
      </c>
      <c r="H41" s="43">
        <f t="shared" si="11"/>
        <v>0</v>
      </c>
      <c r="I41" s="43">
        <f t="shared" si="11"/>
        <v>0</v>
      </c>
      <c r="J41" s="43">
        <f t="shared" si="11"/>
        <v>0</v>
      </c>
      <c r="K41" s="43">
        <f t="shared" si="11"/>
        <v>0</v>
      </c>
      <c r="L41" s="43">
        <f t="shared" si="11"/>
        <v>0</v>
      </c>
      <c r="M41" s="43">
        <f t="shared" si="11"/>
        <v>0</v>
      </c>
      <c r="N41" s="43">
        <f t="shared" si="11"/>
        <v>0</v>
      </c>
      <c r="O41" s="43">
        <f t="shared" si="11"/>
        <v>0</v>
      </c>
      <c r="P41" s="43">
        <f t="shared" si="5"/>
        <v>0</v>
      </c>
    </row>
    <row r="42" spans="1:17" x14ac:dyDescent="0.3">
      <c r="A42" s="1"/>
      <c r="B42" s="2" t="s">
        <v>30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>
        <f t="shared" si="5"/>
        <v>0</v>
      </c>
    </row>
    <row r="43" spans="1:17" x14ac:dyDescent="0.3">
      <c r="A43" s="195" t="s">
        <v>31</v>
      </c>
      <c r="B43" s="195"/>
      <c r="D43" s="28">
        <f t="shared" ref="D43:I43" si="12">SUM(D35:D42)</f>
        <v>0</v>
      </c>
      <c r="E43" s="28">
        <f t="shared" si="12"/>
        <v>0</v>
      </c>
      <c r="F43" s="28">
        <f t="shared" si="12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ref="J43:P43" si="13">SUM(J35:J42)</f>
        <v>0</v>
      </c>
      <c r="K43" s="28">
        <f t="shared" si="13"/>
        <v>0</v>
      </c>
      <c r="L43" s="28">
        <f t="shared" si="13"/>
        <v>0</v>
      </c>
      <c r="M43" s="28">
        <f t="shared" si="13"/>
        <v>0</v>
      </c>
      <c r="N43" s="28">
        <f t="shared" si="13"/>
        <v>0</v>
      </c>
      <c r="O43" s="28">
        <f t="shared" si="13"/>
        <v>0</v>
      </c>
      <c r="P43" s="28">
        <f t="shared" si="13"/>
        <v>0</v>
      </c>
      <c r="Q43" s="8">
        <f>SUM(P35:P42)</f>
        <v>0</v>
      </c>
    </row>
    <row r="44" spans="1:17" x14ac:dyDescent="0.3">
      <c r="A44" s="195" t="s">
        <v>32</v>
      </c>
      <c r="B44" s="195"/>
      <c r="D44" s="42"/>
      <c r="E44" s="42"/>
      <c r="F44" s="42"/>
      <c r="G44" s="42"/>
      <c r="H44" s="42"/>
      <c r="I44" s="42"/>
    </row>
    <row r="45" spans="1:17" x14ac:dyDescent="0.3">
      <c r="A45" s="1"/>
      <c r="B45" s="2" t="s">
        <v>33</v>
      </c>
      <c r="D45" s="42"/>
      <c r="E45" s="42"/>
      <c r="F45" s="42"/>
      <c r="G45" s="42"/>
      <c r="H45" s="42"/>
      <c r="I45" s="42"/>
      <c r="P45">
        <f t="shared" ref="P45:P51" si="14">SUM(D45:O45)</f>
        <v>0</v>
      </c>
    </row>
    <row r="46" spans="1:17" x14ac:dyDescent="0.3">
      <c r="A46" s="1"/>
      <c r="B46" s="2" t="s">
        <v>34</v>
      </c>
      <c r="D46" s="42"/>
      <c r="E46" s="42"/>
      <c r="F46" s="42"/>
      <c r="G46" s="42"/>
      <c r="H46" s="42"/>
      <c r="I46" s="42"/>
      <c r="P46">
        <f t="shared" si="14"/>
        <v>0</v>
      </c>
    </row>
    <row r="47" spans="1:17" x14ac:dyDescent="0.3">
      <c r="A47" s="1"/>
      <c r="B47" s="2" t="s">
        <v>35</v>
      </c>
      <c r="D47" s="42"/>
      <c r="E47" s="42"/>
      <c r="F47" s="42"/>
      <c r="G47" s="42"/>
      <c r="H47" s="42"/>
      <c r="I47" s="42"/>
      <c r="P47">
        <f t="shared" si="14"/>
        <v>0</v>
      </c>
    </row>
    <row r="48" spans="1:17" x14ac:dyDescent="0.3">
      <c r="A48" s="1"/>
      <c r="B48" s="2" t="s">
        <v>36</v>
      </c>
      <c r="D48" s="42"/>
      <c r="E48" s="42"/>
      <c r="F48" s="42"/>
      <c r="G48" s="42"/>
      <c r="H48" s="42"/>
      <c r="I48" s="42"/>
      <c r="P48">
        <f t="shared" si="14"/>
        <v>0</v>
      </c>
    </row>
    <row r="49" spans="1:17" x14ac:dyDescent="0.3">
      <c r="A49" s="1"/>
      <c r="B49" s="2" t="s">
        <v>37</v>
      </c>
      <c r="D49" s="42"/>
      <c r="E49" s="42"/>
      <c r="F49" s="42"/>
      <c r="G49" s="42"/>
      <c r="H49" s="42"/>
      <c r="I49" s="42"/>
      <c r="P49">
        <f t="shared" si="14"/>
        <v>0</v>
      </c>
    </row>
    <row r="50" spans="1:17" x14ac:dyDescent="0.3">
      <c r="A50" s="1"/>
      <c r="B50" s="2" t="s">
        <v>38</v>
      </c>
      <c r="D50" s="42"/>
      <c r="E50" s="42"/>
      <c r="F50" s="42"/>
      <c r="G50" s="42"/>
      <c r="H50" s="42"/>
      <c r="I50" s="42"/>
      <c r="P50">
        <f t="shared" si="14"/>
        <v>0</v>
      </c>
    </row>
    <row r="51" spans="1:17" x14ac:dyDescent="0.3">
      <c r="A51" s="1"/>
      <c r="B51" s="2" t="s">
        <v>39</v>
      </c>
      <c r="D51" s="42"/>
      <c r="E51" s="42"/>
      <c r="F51" s="42"/>
      <c r="G51" s="42"/>
      <c r="H51" s="42"/>
      <c r="I51" s="42"/>
      <c r="P51">
        <f t="shared" si="14"/>
        <v>0</v>
      </c>
    </row>
    <row r="52" spans="1:17" x14ac:dyDescent="0.3">
      <c r="A52" s="195" t="s">
        <v>40</v>
      </c>
      <c r="B52" s="195"/>
      <c r="D52" s="4">
        <f t="shared" ref="D52:I52" si="15">SUM(D45:D51)</f>
        <v>0</v>
      </c>
      <c r="E52" s="4">
        <f t="shared" si="15"/>
        <v>0</v>
      </c>
      <c r="F52" s="4">
        <f t="shared" si="15"/>
        <v>0</v>
      </c>
      <c r="G52" s="4">
        <f t="shared" si="15"/>
        <v>0</v>
      </c>
      <c r="H52" s="4">
        <f t="shared" si="15"/>
        <v>0</v>
      </c>
      <c r="I52" s="4">
        <f t="shared" si="15"/>
        <v>0</v>
      </c>
      <c r="J52" s="4">
        <f t="shared" ref="J52:P52" si="16">SUM(J45:J51)</f>
        <v>0</v>
      </c>
      <c r="K52" s="4">
        <f t="shared" si="16"/>
        <v>0</v>
      </c>
      <c r="L52" s="4">
        <f t="shared" si="16"/>
        <v>0</v>
      </c>
      <c r="M52" s="4">
        <f t="shared" si="16"/>
        <v>0</v>
      </c>
      <c r="N52" s="4">
        <f t="shared" si="16"/>
        <v>0</v>
      </c>
      <c r="O52" s="4">
        <f t="shared" si="16"/>
        <v>0</v>
      </c>
      <c r="P52" s="4">
        <f t="shared" si="16"/>
        <v>0</v>
      </c>
      <c r="Q52" s="8">
        <f>SUM(P51)-P52</f>
        <v>0</v>
      </c>
    </row>
    <row r="53" spans="1:17" x14ac:dyDescent="0.3">
      <c r="A53" s="195" t="s">
        <v>41</v>
      </c>
      <c r="B53" s="195"/>
      <c r="D53" s="42"/>
      <c r="E53" s="42"/>
      <c r="F53" s="42"/>
      <c r="G53" s="42"/>
      <c r="H53" s="42"/>
      <c r="I53" s="42"/>
    </row>
    <row r="54" spans="1:17" x14ac:dyDescent="0.3">
      <c r="A54" s="1"/>
      <c r="B54" s="2" t="s">
        <v>42</v>
      </c>
      <c r="D54" s="42"/>
      <c r="E54" s="42"/>
      <c r="F54" s="42"/>
      <c r="G54" s="42"/>
      <c r="H54" s="42"/>
      <c r="I54" s="42"/>
      <c r="P54">
        <f t="shared" ref="P54:P82" si="17">SUM(D54:O54)</f>
        <v>0</v>
      </c>
    </row>
    <row r="55" spans="1:17" x14ac:dyDescent="0.3">
      <c r="A55" s="1"/>
      <c r="B55" s="2" t="s">
        <v>43</v>
      </c>
      <c r="D55" s="42"/>
      <c r="E55" s="42"/>
      <c r="F55" s="42"/>
      <c r="G55" s="42"/>
      <c r="H55" s="42"/>
      <c r="I55" s="42"/>
      <c r="P55">
        <f t="shared" si="17"/>
        <v>0</v>
      </c>
    </row>
    <row r="56" spans="1:17" x14ac:dyDescent="0.3">
      <c r="A56" s="1"/>
      <c r="B56" s="2" t="s">
        <v>44</v>
      </c>
      <c r="D56" s="42"/>
      <c r="E56" s="42"/>
      <c r="F56" s="42"/>
      <c r="G56" s="42"/>
      <c r="H56" s="42"/>
      <c r="I56" s="42"/>
      <c r="P56">
        <f t="shared" si="17"/>
        <v>0</v>
      </c>
    </row>
    <row r="57" spans="1:17" x14ac:dyDescent="0.3">
      <c r="A57" s="1"/>
      <c r="B57" s="2" t="s">
        <v>45</v>
      </c>
      <c r="D57" s="42"/>
      <c r="E57" s="42"/>
      <c r="F57" s="42"/>
      <c r="G57" s="42"/>
      <c r="H57" s="42"/>
      <c r="I57" s="42"/>
      <c r="P57">
        <f t="shared" si="17"/>
        <v>0</v>
      </c>
    </row>
    <row r="58" spans="1:17" x14ac:dyDescent="0.3">
      <c r="A58" s="1"/>
      <c r="B58" s="2" t="s">
        <v>46</v>
      </c>
      <c r="D58" s="42"/>
      <c r="E58" s="42"/>
      <c r="F58" s="42"/>
      <c r="G58" s="42"/>
      <c r="H58" s="42"/>
      <c r="I58" s="42"/>
      <c r="P58">
        <f t="shared" si="17"/>
        <v>0</v>
      </c>
    </row>
    <row r="59" spans="1:17" x14ac:dyDescent="0.3">
      <c r="A59" s="1"/>
      <c r="B59" s="2" t="s">
        <v>47</v>
      </c>
      <c r="D59" s="42"/>
      <c r="E59" s="42"/>
      <c r="F59" s="42"/>
      <c r="G59" s="42"/>
      <c r="H59" s="42"/>
      <c r="I59" s="42"/>
      <c r="P59">
        <f t="shared" si="17"/>
        <v>0</v>
      </c>
    </row>
    <row r="60" spans="1:17" x14ac:dyDescent="0.3">
      <c r="A60" s="1"/>
      <c r="B60" s="2" t="s">
        <v>48</v>
      </c>
      <c r="D60" s="42"/>
      <c r="E60" s="42"/>
      <c r="F60" s="42"/>
      <c r="G60" s="42"/>
      <c r="H60" s="42"/>
      <c r="I60" s="42"/>
      <c r="P60">
        <f t="shared" si="17"/>
        <v>0</v>
      </c>
    </row>
    <row r="61" spans="1:17" x14ac:dyDescent="0.3">
      <c r="A61" s="1"/>
      <c r="B61" s="2" t="s">
        <v>49</v>
      </c>
      <c r="D61" s="42"/>
      <c r="E61" s="42"/>
      <c r="F61" s="42"/>
      <c r="G61" s="42"/>
      <c r="H61" s="42"/>
      <c r="I61" s="42"/>
      <c r="P61">
        <f t="shared" si="17"/>
        <v>0</v>
      </c>
    </row>
    <row r="62" spans="1:17" x14ac:dyDescent="0.3">
      <c r="A62" s="1"/>
      <c r="B62" s="2" t="s">
        <v>50</v>
      </c>
      <c r="D62" s="42"/>
      <c r="E62" s="42"/>
      <c r="F62" s="42"/>
      <c r="G62" s="42"/>
      <c r="H62" s="42"/>
      <c r="I62" s="42"/>
      <c r="P62">
        <f t="shared" si="17"/>
        <v>0</v>
      </c>
    </row>
    <row r="63" spans="1:17" x14ac:dyDescent="0.3">
      <c r="A63" s="1"/>
      <c r="B63" s="2" t="s">
        <v>51</v>
      </c>
      <c r="D63" s="42"/>
      <c r="E63" s="42"/>
      <c r="F63" s="42"/>
      <c r="G63" s="42"/>
      <c r="H63" s="42"/>
      <c r="I63" s="42"/>
      <c r="P63">
        <f t="shared" si="17"/>
        <v>0</v>
      </c>
    </row>
    <row r="64" spans="1:17" x14ac:dyDescent="0.3">
      <c r="A64" s="1"/>
      <c r="B64" s="2" t="s">
        <v>52</v>
      </c>
      <c r="D64" s="42"/>
      <c r="E64" s="42"/>
      <c r="F64" s="42"/>
      <c r="G64" s="42"/>
      <c r="H64" s="42"/>
      <c r="I64" s="42"/>
      <c r="P64">
        <f t="shared" si="17"/>
        <v>0</v>
      </c>
    </row>
    <row r="65" spans="1:16" x14ac:dyDescent="0.3">
      <c r="A65" s="1"/>
      <c r="B65" s="2" t="s">
        <v>53</v>
      </c>
      <c r="D65" s="42"/>
      <c r="E65" s="42"/>
      <c r="F65" s="42"/>
      <c r="G65" s="42"/>
      <c r="H65" s="42"/>
      <c r="I65" s="42"/>
      <c r="P65">
        <f t="shared" si="17"/>
        <v>0</v>
      </c>
    </row>
    <row r="66" spans="1:16" x14ac:dyDescent="0.3">
      <c r="A66" s="1"/>
      <c r="B66" s="2" t="s">
        <v>54</v>
      </c>
      <c r="D66" s="42"/>
      <c r="E66" s="42"/>
      <c r="F66" s="42"/>
      <c r="G66" s="42"/>
      <c r="H66" s="42"/>
      <c r="I66" s="42"/>
      <c r="P66">
        <f t="shared" si="17"/>
        <v>0</v>
      </c>
    </row>
    <row r="67" spans="1:16" x14ac:dyDescent="0.3">
      <c r="A67" s="1"/>
      <c r="B67" s="2" t="s">
        <v>55</v>
      </c>
      <c r="D67" s="42"/>
      <c r="E67" s="42"/>
      <c r="F67" s="42"/>
      <c r="G67" s="42"/>
      <c r="H67" s="42"/>
      <c r="I67" s="42"/>
      <c r="P67">
        <f t="shared" si="17"/>
        <v>0</v>
      </c>
    </row>
    <row r="68" spans="1:16" x14ac:dyDescent="0.3">
      <c r="A68" s="1"/>
      <c r="B68" s="2" t="s">
        <v>56</v>
      </c>
      <c r="D68" s="42"/>
      <c r="E68" s="42"/>
      <c r="F68" s="42"/>
      <c r="G68" s="42"/>
      <c r="H68" s="42"/>
      <c r="I68" s="42"/>
      <c r="P68">
        <f t="shared" si="17"/>
        <v>0</v>
      </c>
    </row>
    <row r="69" spans="1:16" x14ac:dyDescent="0.3">
      <c r="A69" s="1"/>
      <c r="B69" s="2" t="s">
        <v>57</v>
      </c>
      <c r="D69" s="42"/>
      <c r="E69" s="42"/>
      <c r="F69" s="42"/>
      <c r="G69" s="42"/>
      <c r="H69" s="42"/>
      <c r="I69" s="42"/>
      <c r="P69">
        <f t="shared" si="17"/>
        <v>0</v>
      </c>
    </row>
    <row r="70" spans="1:16" x14ac:dyDescent="0.3">
      <c r="A70" s="1"/>
      <c r="B70" s="2" t="s">
        <v>58</v>
      </c>
      <c r="D70" s="42"/>
      <c r="E70" s="42"/>
      <c r="F70" s="42"/>
      <c r="G70" s="42"/>
      <c r="H70" s="42"/>
      <c r="I70" s="42"/>
      <c r="P70">
        <f t="shared" si="17"/>
        <v>0</v>
      </c>
    </row>
    <row r="71" spans="1:16" x14ac:dyDescent="0.3">
      <c r="A71" s="1"/>
      <c r="B71" s="2" t="s">
        <v>59</v>
      </c>
      <c r="D71" s="42"/>
      <c r="E71" s="42"/>
      <c r="F71" s="42"/>
      <c r="G71" s="42"/>
      <c r="H71" s="42"/>
      <c r="I71" s="42"/>
      <c r="P71">
        <f t="shared" si="17"/>
        <v>0</v>
      </c>
    </row>
    <row r="72" spans="1:16" x14ac:dyDescent="0.3">
      <c r="A72" s="1"/>
      <c r="B72" s="2" t="s">
        <v>60</v>
      </c>
      <c r="D72" s="42"/>
      <c r="E72" s="42"/>
      <c r="F72" s="42"/>
      <c r="G72" s="42"/>
      <c r="H72" s="42"/>
      <c r="I72" s="42"/>
      <c r="P72">
        <f t="shared" si="17"/>
        <v>0</v>
      </c>
    </row>
    <row r="73" spans="1:16" x14ac:dyDescent="0.3">
      <c r="A73" s="1"/>
      <c r="B73" s="2" t="s">
        <v>61</v>
      </c>
      <c r="D73" s="42"/>
      <c r="E73" s="42"/>
      <c r="F73" s="42"/>
      <c r="G73" s="42"/>
      <c r="H73" s="42"/>
      <c r="I73" s="42"/>
      <c r="P73">
        <f t="shared" si="17"/>
        <v>0</v>
      </c>
    </row>
    <row r="74" spans="1:16" x14ac:dyDescent="0.3">
      <c r="A74" s="1"/>
      <c r="B74" s="2" t="s">
        <v>62</v>
      </c>
      <c r="D74" s="42"/>
      <c r="E74" s="42"/>
      <c r="F74" s="42"/>
      <c r="G74" s="42"/>
      <c r="H74" s="42"/>
      <c r="I74" s="42"/>
      <c r="P74">
        <f t="shared" si="17"/>
        <v>0</v>
      </c>
    </row>
    <row r="75" spans="1:16" x14ac:dyDescent="0.3">
      <c r="A75" s="1"/>
      <c r="B75" s="2" t="s">
        <v>63</v>
      </c>
      <c r="D75" s="42"/>
      <c r="E75" s="42"/>
      <c r="F75" s="42"/>
      <c r="G75" s="42"/>
      <c r="H75" s="42"/>
      <c r="I75" s="42"/>
      <c r="P75">
        <f t="shared" si="17"/>
        <v>0</v>
      </c>
    </row>
    <row r="76" spans="1:16" x14ac:dyDescent="0.3">
      <c r="A76" s="2" t="s">
        <v>17</v>
      </c>
      <c r="B76" s="2" t="s">
        <v>64</v>
      </c>
      <c r="D76" s="42"/>
      <c r="E76" s="42"/>
      <c r="F76" s="42"/>
      <c r="G76" s="42"/>
      <c r="H76" s="42"/>
      <c r="I76" s="42"/>
      <c r="P76">
        <f t="shared" si="17"/>
        <v>0</v>
      </c>
    </row>
    <row r="77" spans="1:16" x14ac:dyDescent="0.3">
      <c r="A77" s="1"/>
      <c r="B77" s="2" t="s">
        <v>65</v>
      </c>
      <c r="D77" s="42"/>
      <c r="E77" s="42"/>
      <c r="F77" s="42"/>
      <c r="G77" s="42"/>
      <c r="H77" s="42"/>
      <c r="I77" s="42"/>
      <c r="P77">
        <f t="shared" si="17"/>
        <v>0</v>
      </c>
    </row>
    <row r="78" spans="1:16" x14ac:dyDescent="0.3">
      <c r="A78" s="1"/>
      <c r="B78" s="1"/>
      <c r="D78" s="42"/>
      <c r="E78" s="42"/>
      <c r="F78" s="42"/>
      <c r="G78" s="42"/>
      <c r="H78" s="42"/>
      <c r="I78" s="42"/>
      <c r="P78">
        <f t="shared" si="17"/>
        <v>0</v>
      </c>
    </row>
    <row r="79" spans="1:16" x14ac:dyDescent="0.3">
      <c r="A79" s="1"/>
      <c r="B79" s="2"/>
      <c r="D79" s="42"/>
      <c r="E79" s="42"/>
      <c r="F79" s="42"/>
      <c r="G79" s="42"/>
      <c r="H79" s="42"/>
      <c r="I79" s="42"/>
      <c r="P79">
        <f t="shared" si="17"/>
        <v>0</v>
      </c>
    </row>
    <row r="80" spans="1:16" x14ac:dyDescent="0.3">
      <c r="A80" s="1"/>
      <c r="B80" s="2"/>
      <c r="D80" s="42"/>
      <c r="E80" s="42"/>
      <c r="F80" s="42"/>
      <c r="G80" s="42"/>
      <c r="H80" s="42"/>
      <c r="I80" s="42"/>
      <c r="P80">
        <f t="shared" si="17"/>
        <v>0</v>
      </c>
    </row>
    <row r="81" spans="1:17" x14ac:dyDescent="0.3">
      <c r="A81" s="1"/>
      <c r="B81" s="2"/>
      <c r="D81" s="42"/>
      <c r="E81" s="42"/>
      <c r="F81" s="42"/>
      <c r="G81" s="42"/>
      <c r="H81" s="42"/>
      <c r="I81" s="42"/>
      <c r="P81">
        <f t="shared" si="17"/>
        <v>0</v>
      </c>
    </row>
    <row r="82" spans="1:17" x14ac:dyDescent="0.3">
      <c r="A82" s="1"/>
      <c r="B82" s="2"/>
      <c r="D82" s="42"/>
      <c r="E82" s="42"/>
      <c r="F82" s="42"/>
      <c r="G82" s="42"/>
      <c r="H82" s="42"/>
      <c r="I82" s="42"/>
      <c r="P82">
        <f t="shared" si="17"/>
        <v>0</v>
      </c>
    </row>
    <row r="83" spans="1:17" x14ac:dyDescent="0.3">
      <c r="A83" s="195" t="s">
        <v>66</v>
      </c>
      <c r="B83" s="195"/>
      <c r="D83" s="4">
        <f t="shared" ref="D83:I83" si="18">SUM(D55:D82)</f>
        <v>0</v>
      </c>
      <c r="E83" s="4">
        <f t="shared" si="18"/>
        <v>0</v>
      </c>
      <c r="F83" s="4">
        <f t="shared" si="18"/>
        <v>0</v>
      </c>
      <c r="G83" s="4">
        <f t="shared" si="18"/>
        <v>0</v>
      </c>
      <c r="H83" s="4">
        <f t="shared" si="18"/>
        <v>0</v>
      </c>
      <c r="I83" s="4">
        <f t="shared" si="18"/>
        <v>0</v>
      </c>
      <c r="J83" s="4">
        <f t="shared" ref="J83:P83" si="19">SUM(J55:J82)</f>
        <v>0</v>
      </c>
      <c r="K83" s="4">
        <f t="shared" si="19"/>
        <v>0</v>
      </c>
      <c r="L83" s="4">
        <f t="shared" si="19"/>
        <v>0</v>
      </c>
      <c r="M83" s="4">
        <f t="shared" si="19"/>
        <v>0</v>
      </c>
      <c r="N83" s="4">
        <f t="shared" si="19"/>
        <v>0</v>
      </c>
      <c r="O83" s="4">
        <f t="shared" si="19"/>
        <v>0</v>
      </c>
      <c r="P83" s="4">
        <f t="shared" si="19"/>
        <v>0</v>
      </c>
      <c r="Q83" s="8">
        <f>SUM(P54:P82)-P83</f>
        <v>0</v>
      </c>
    </row>
    <row r="84" spans="1:17" x14ac:dyDescent="0.3">
      <c r="A84" s="195" t="s">
        <v>67</v>
      </c>
      <c r="B84" s="195"/>
      <c r="D84" s="42"/>
      <c r="E84" s="42"/>
      <c r="F84" s="42"/>
      <c r="G84" s="42"/>
      <c r="H84" s="42"/>
      <c r="I84" s="42"/>
    </row>
    <row r="85" spans="1:17" x14ac:dyDescent="0.3">
      <c r="A85" s="1"/>
      <c r="B85" s="2" t="s">
        <v>68</v>
      </c>
      <c r="D85" s="42"/>
      <c r="E85" s="42"/>
      <c r="F85" s="42"/>
      <c r="G85" s="42"/>
      <c r="H85" s="42"/>
      <c r="I85" s="42"/>
      <c r="P85">
        <f t="shared" ref="P85:P103" si="20">SUM(D85:O85)</f>
        <v>0</v>
      </c>
    </row>
    <row r="86" spans="1:17" x14ac:dyDescent="0.3">
      <c r="A86" s="1"/>
      <c r="B86" s="2" t="s">
        <v>69</v>
      </c>
      <c r="D86" s="42"/>
      <c r="E86" s="42"/>
      <c r="F86" s="42"/>
      <c r="G86" s="42"/>
      <c r="H86" s="42"/>
      <c r="I86" s="42"/>
      <c r="P86">
        <f t="shared" si="20"/>
        <v>0</v>
      </c>
    </row>
    <row r="87" spans="1:17" x14ac:dyDescent="0.3">
      <c r="A87" s="1"/>
      <c r="B87" s="2" t="s">
        <v>70</v>
      </c>
      <c r="D87" s="42"/>
      <c r="E87" s="42"/>
      <c r="F87" s="42"/>
      <c r="G87" s="42"/>
      <c r="H87" s="42"/>
      <c r="I87" s="42"/>
      <c r="P87">
        <f t="shared" si="20"/>
        <v>0</v>
      </c>
    </row>
    <row r="88" spans="1:17" x14ac:dyDescent="0.3">
      <c r="A88" s="1"/>
      <c r="B88" s="2" t="s">
        <v>71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>
        <f t="shared" si="20"/>
        <v>0</v>
      </c>
    </row>
    <row r="89" spans="1:17" x14ac:dyDescent="0.3">
      <c r="A89" s="1"/>
      <c r="B89" s="2" t="s">
        <v>72</v>
      </c>
      <c r="D89" s="42"/>
      <c r="E89" s="42"/>
      <c r="F89" s="42"/>
      <c r="G89" s="42"/>
      <c r="H89" s="42"/>
      <c r="I89" s="42"/>
      <c r="P89">
        <f t="shared" si="20"/>
        <v>0</v>
      </c>
    </row>
    <row r="90" spans="1:17" x14ac:dyDescent="0.3">
      <c r="A90" s="1"/>
      <c r="B90" s="2" t="s">
        <v>73</v>
      </c>
      <c r="D90" s="42"/>
      <c r="E90" s="42"/>
      <c r="F90" s="42"/>
      <c r="G90" s="42"/>
      <c r="H90" s="42"/>
      <c r="I90" s="42"/>
      <c r="P90">
        <f t="shared" si="20"/>
        <v>0</v>
      </c>
    </row>
    <row r="91" spans="1:17" x14ac:dyDescent="0.3">
      <c r="A91" s="1"/>
      <c r="B91" s="2" t="s">
        <v>74</v>
      </c>
      <c r="D91" s="42"/>
      <c r="E91" s="42"/>
      <c r="F91" s="42"/>
      <c r="G91" s="42"/>
      <c r="H91" s="42"/>
      <c r="I91" s="42"/>
      <c r="P91">
        <f t="shared" si="20"/>
        <v>0</v>
      </c>
    </row>
    <row r="92" spans="1:17" x14ac:dyDescent="0.3">
      <c r="A92" s="1"/>
      <c r="B92" s="2" t="s">
        <v>75</v>
      </c>
      <c r="D92" s="42"/>
      <c r="E92" s="42"/>
      <c r="F92" s="42"/>
      <c r="G92" s="42"/>
      <c r="H92" s="42"/>
      <c r="I92" s="42"/>
      <c r="P92">
        <f t="shared" si="20"/>
        <v>0</v>
      </c>
    </row>
    <row r="93" spans="1:17" x14ac:dyDescent="0.3">
      <c r="A93" s="1"/>
      <c r="B93" s="2" t="s">
        <v>76</v>
      </c>
      <c r="D93" s="42"/>
      <c r="E93" s="42"/>
      <c r="F93" s="42"/>
      <c r="G93" s="42"/>
      <c r="H93" s="42"/>
      <c r="I93" s="42"/>
      <c r="P93">
        <f t="shared" si="20"/>
        <v>0</v>
      </c>
    </row>
    <row r="94" spans="1:17" x14ac:dyDescent="0.3">
      <c r="A94" s="1"/>
      <c r="B94" s="2" t="s">
        <v>77</v>
      </c>
      <c r="D94" s="42"/>
      <c r="E94" s="42"/>
      <c r="F94" s="42"/>
      <c r="G94" s="42"/>
      <c r="H94" s="42"/>
      <c r="I94" s="42"/>
      <c r="P94">
        <f t="shared" si="20"/>
        <v>0</v>
      </c>
    </row>
    <row r="95" spans="1:17" x14ac:dyDescent="0.3">
      <c r="A95" s="1"/>
      <c r="B95" s="2" t="s">
        <v>78</v>
      </c>
      <c r="D95" s="42"/>
      <c r="E95" s="42"/>
      <c r="F95" s="42"/>
      <c r="G95" s="42"/>
      <c r="H95" s="42"/>
      <c r="I95" s="42"/>
      <c r="P95">
        <f t="shared" si="20"/>
        <v>0</v>
      </c>
    </row>
    <row r="96" spans="1:17" x14ac:dyDescent="0.3">
      <c r="A96" s="1"/>
      <c r="B96" s="2" t="s">
        <v>79</v>
      </c>
      <c r="D96" s="42"/>
      <c r="E96" s="42"/>
      <c r="F96" s="42"/>
      <c r="G96" s="42"/>
      <c r="H96" s="42"/>
      <c r="I96" s="42"/>
      <c r="P96">
        <f t="shared" si="20"/>
        <v>0</v>
      </c>
    </row>
    <row r="97" spans="1:17" x14ac:dyDescent="0.3">
      <c r="A97" s="1"/>
      <c r="B97" s="2" t="s">
        <v>80</v>
      </c>
      <c r="D97" s="42"/>
      <c r="E97" s="42"/>
      <c r="F97" s="42"/>
      <c r="G97" s="42"/>
      <c r="H97" s="42"/>
      <c r="I97" s="42"/>
      <c r="P97">
        <f t="shared" si="20"/>
        <v>0</v>
      </c>
    </row>
    <row r="98" spans="1:17" x14ac:dyDescent="0.3">
      <c r="A98" s="1"/>
      <c r="B98" s="2" t="s">
        <v>81</v>
      </c>
      <c r="D98" s="42"/>
      <c r="E98" s="42"/>
      <c r="F98" s="42"/>
      <c r="G98" s="42"/>
      <c r="H98" s="42"/>
      <c r="I98" s="42"/>
      <c r="P98">
        <f t="shared" si="20"/>
        <v>0</v>
      </c>
    </row>
    <row r="99" spans="1:17" x14ac:dyDescent="0.3">
      <c r="A99" s="1"/>
      <c r="B99" s="2" t="s">
        <v>82</v>
      </c>
      <c r="D99" s="42"/>
      <c r="E99" s="42"/>
      <c r="F99" s="42"/>
      <c r="G99" s="42"/>
      <c r="H99" s="42"/>
      <c r="I99" s="42"/>
      <c r="P99">
        <f t="shared" si="20"/>
        <v>0</v>
      </c>
    </row>
    <row r="100" spans="1:17" x14ac:dyDescent="0.3">
      <c r="A100" s="1"/>
      <c r="B100" s="2" t="s">
        <v>83</v>
      </c>
      <c r="D100" s="42"/>
      <c r="E100" s="42"/>
      <c r="F100" s="42"/>
      <c r="G100" s="42"/>
      <c r="H100" s="42"/>
      <c r="I100" s="42"/>
      <c r="P100">
        <f t="shared" si="20"/>
        <v>0</v>
      </c>
    </row>
    <row r="101" spans="1:17" x14ac:dyDescent="0.3">
      <c r="A101" s="1"/>
      <c r="B101" s="1"/>
      <c r="D101" s="42"/>
      <c r="E101" s="42"/>
      <c r="F101" s="42"/>
      <c r="G101" s="42"/>
      <c r="H101" s="42"/>
      <c r="I101" s="42"/>
      <c r="P101">
        <f t="shared" si="20"/>
        <v>0</v>
      </c>
    </row>
    <row r="102" spans="1:17" x14ac:dyDescent="0.3">
      <c r="A102" s="1"/>
      <c r="B102" s="2"/>
      <c r="D102" s="42"/>
      <c r="E102" s="42"/>
      <c r="F102" s="42"/>
      <c r="G102" s="42"/>
      <c r="H102" s="42"/>
      <c r="I102" s="42"/>
      <c r="P102">
        <f t="shared" si="20"/>
        <v>0</v>
      </c>
    </row>
    <row r="103" spans="1:17" x14ac:dyDescent="0.3">
      <c r="A103" s="1"/>
      <c r="B103" s="2"/>
      <c r="D103" s="42"/>
      <c r="E103" s="42"/>
      <c r="F103" s="42"/>
      <c r="G103" s="42"/>
      <c r="H103" s="42"/>
      <c r="I103" s="42"/>
      <c r="P103">
        <f t="shared" si="20"/>
        <v>0</v>
      </c>
    </row>
    <row r="104" spans="1:17" x14ac:dyDescent="0.3">
      <c r="A104" s="195" t="s">
        <v>84</v>
      </c>
      <c r="B104" s="195"/>
      <c r="D104" s="5">
        <f t="shared" ref="D104:I104" si="21">SUM(D85:D103)</f>
        <v>0</v>
      </c>
      <c r="E104" s="5">
        <f t="shared" si="21"/>
        <v>0</v>
      </c>
      <c r="F104" s="5">
        <f t="shared" si="21"/>
        <v>0</v>
      </c>
      <c r="G104" s="5">
        <f t="shared" si="21"/>
        <v>0</v>
      </c>
      <c r="H104" s="5">
        <f t="shared" si="21"/>
        <v>0</v>
      </c>
      <c r="I104" s="5">
        <f t="shared" si="21"/>
        <v>0</v>
      </c>
      <c r="J104" s="5">
        <f t="shared" ref="J104:P104" si="22">SUM(J85:J103)</f>
        <v>0</v>
      </c>
      <c r="K104" s="5">
        <f t="shared" si="22"/>
        <v>0</v>
      </c>
      <c r="L104" s="5">
        <f t="shared" si="22"/>
        <v>0</v>
      </c>
      <c r="M104" s="5">
        <f t="shared" si="22"/>
        <v>0</v>
      </c>
      <c r="N104" s="5">
        <f t="shared" si="22"/>
        <v>0</v>
      </c>
      <c r="O104" s="5">
        <f t="shared" si="22"/>
        <v>0</v>
      </c>
      <c r="P104" s="5">
        <f t="shared" si="22"/>
        <v>0</v>
      </c>
      <c r="Q104" s="8">
        <f>SUM(P85:P103)-P104</f>
        <v>0</v>
      </c>
    </row>
    <row r="105" spans="1:17" x14ac:dyDescent="0.3">
      <c r="A105" s="1"/>
      <c r="B105" s="2" t="s">
        <v>85</v>
      </c>
      <c r="D105" s="5">
        <f t="shared" ref="D105:I105" si="23">D104+D83+D52+D43</f>
        <v>0</v>
      </c>
      <c r="E105" s="5">
        <f t="shared" si="23"/>
        <v>0</v>
      </c>
      <c r="F105" s="5">
        <f t="shared" si="23"/>
        <v>0</v>
      </c>
      <c r="G105" s="5">
        <f t="shared" si="23"/>
        <v>0</v>
      </c>
      <c r="H105" s="5">
        <f t="shared" si="23"/>
        <v>0</v>
      </c>
      <c r="I105" s="5">
        <f t="shared" si="23"/>
        <v>0</v>
      </c>
      <c r="J105" s="5">
        <f t="shared" ref="J105:P105" si="24">J104+J83+J52+J43</f>
        <v>0</v>
      </c>
      <c r="K105" s="5">
        <f t="shared" si="24"/>
        <v>0</v>
      </c>
      <c r="L105" s="5">
        <f t="shared" si="24"/>
        <v>0</v>
      </c>
      <c r="M105" s="5">
        <f t="shared" si="24"/>
        <v>0</v>
      </c>
      <c r="N105" s="5">
        <f t="shared" si="24"/>
        <v>0</v>
      </c>
      <c r="O105" s="5">
        <f t="shared" si="24"/>
        <v>0</v>
      </c>
      <c r="P105" s="5">
        <f t="shared" si="24"/>
        <v>0</v>
      </c>
    </row>
    <row r="106" spans="1:17" x14ac:dyDescent="0.3">
      <c r="A106" s="1"/>
      <c r="B106" s="2" t="s">
        <v>86</v>
      </c>
      <c r="D106" s="42"/>
      <c r="E106" s="42"/>
      <c r="F106" s="42"/>
      <c r="G106" s="42"/>
      <c r="H106" s="42"/>
      <c r="I106" s="42"/>
    </row>
    <row r="107" spans="1:17" x14ac:dyDescent="0.3">
      <c r="D107" s="42"/>
      <c r="E107" s="42"/>
      <c r="F107" s="42"/>
      <c r="G107" s="42"/>
      <c r="H107" s="42"/>
      <c r="I107" s="42"/>
    </row>
    <row r="108" spans="1:17" ht="15" thickBot="1" x14ac:dyDescent="0.35">
      <c r="B108" t="s">
        <v>112</v>
      </c>
      <c r="D108" s="7">
        <f t="shared" ref="D108:I108" si="25">D32-D105-D106</f>
        <v>0</v>
      </c>
      <c r="E108" s="7">
        <f t="shared" si="25"/>
        <v>0</v>
      </c>
      <c r="F108" s="7">
        <f t="shared" si="25"/>
        <v>0</v>
      </c>
      <c r="G108" s="7">
        <f t="shared" si="25"/>
        <v>0</v>
      </c>
      <c r="H108" s="7">
        <f t="shared" si="25"/>
        <v>0</v>
      </c>
      <c r="I108" s="7">
        <f t="shared" si="25"/>
        <v>0</v>
      </c>
      <c r="J108" s="7">
        <f t="shared" ref="J108:P108" si="26">J32-J105-J106</f>
        <v>0</v>
      </c>
      <c r="K108" s="7">
        <f t="shared" si="26"/>
        <v>0</v>
      </c>
      <c r="L108" s="7">
        <f t="shared" si="26"/>
        <v>0</v>
      </c>
      <c r="M108" s="7">
        <f t="shared" si="26"/>
        <v>0</v>
      </c>
      <c r="N108" s="7">
        <f t="shared" si="26"/>
        <v>0</v>
      </c>
      <c r="O108" s="7">
        <f t="shared" si="26"/>
        <v>0</v>
      </c>
      <c r="P108" s="7">
        <f t="shared" si="26"/>
        <v>0</v>
      </c>
    </row>
    <row r="109" spans="1:17" ht="15" thickTop="1" x14ac:dyDescent="0.3"/>
  </sheetData>
  <mergeCells count="16">
    <mergeCell ref="A19:B19"/>
    <mergeCell ref="A4:B4"/>
    <mergeCell ref="A5:B5"/>
    <mergeCell ref="A12:B12"/>
    <mergeCell ref="A13:B13"/>
    <mergeCell ref="A18:B18"/>
    <mergeCell ref="A53:B53"/>
    <mergeCell ref="A83:B83"/>
    <mergeCell ref="A84:B84"/>
    <mergeCell ref="A104:B104"/>
    <mergeCell ref="A26:B26"/>
    <mergeCell ref="A27:B27"/>
    <mergeCell ref="A34:B34"/>
    <mergeCell ref="A43:B43"/>
    <mergeCell ref="A44:B44"/>
    <mergeCell ref="A52:B52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Q11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4" sqref="B14:B17"/>
    </sheetView>
  </sheetViews>
  <sheetFormatPr defaultRowHeight="14.4" x14ac:dyDescent="0.3"/>
  <cols>
    <col min="2" max="2" width="30.109375" customWidth="1"/>
    <col min="3" max="3" width="2.44140625" customWidth="1"/>
  </cols>
  <sheetData>
    <row r="3" spans="1:17" x14ac:dyDescent="0.3">
      <c r="D3" s="3" t="s">
        <v>100</v>
      </c>
      <c r="E3" s="3" t="s">
        <v>101</v>
      </c>
      <c r="F3" s="3" t="s">
        <v>102</v>
      </c>
      <c r="G3" s="3" t="s">
        <v>103</v>
      </c>
      <c r="H3" s="3" t="s">
        <v>104</v>
      </c>
      <c r="I3" s="3" t="s">
        <v>105</v>
      </c>
      <c r="J3" s="3" t="s">
        <v>106</v>
      </c>
      <c r="K3" s="3" t="s">
        <v>107</v>
      </c>
      <c r="L3" s="3" t="s">
        <v>108</v>
      </c>
      <c r="M3" s="3" t="s">
        <v>109</v>
      </c>
      <c r="N3" s="3" t="s">
        <v>110</v>
      </c>
      <c r="O3" s="3" t="s">
        <v>111</v>
      </c>
      <c r="P3" s="6" t="s">
        <v>113</v>
      </c>
    </row>
    <row r="4" spans="1:17" x14ac:dyDescent="0.3">
      <c r="A4" s="195" t="s">
        <v>99</v>
      </c>
      <c r="B4" s="195"/>
    </row>
    <row r="5" spans="1:17" x14ac:dyDescent="0.3">
      <c r="A5" s="195" t="s">
        <v>1</v>
      </c>
      <c r="B5" s="195"/>
    </row>
    <row r="6" spans="1:17" x14ac:dyDescent="0.3">
      <c r="A6" s="1"/>
      <c r="B6" s="94" t="s">
        <v>2</v>
      </c>
      <c r="D6" s="43">
        <f>'Admin-Gen'!D6+'Admin-Board'!D6+'Admin-ED'!D6</f>
        <v>0</v>
      </c>
      <c r="E6" s="43">
        <f>'Admin-Gen'!E6+'Admin-Board'!E6+'Admin-ED'!E6</f>
        <v>0</v>
      </c>
      <c r="F6" s="43">
        <f>'Admin-Gen'!F6+'Admin-Board'!F6+'Admin-ED'!F6</f>
        <v>0</v>
      </c>
      <c r="G6" s="43">
        <f>'Admin-Gen'!G6+'Admin-Board'!G6+'Admin-ED'!G6</f>
        <v>0</v>
      </c>
      <c r="H6" s="43">
        <f>'Admin-Gen'!H6+'Admin-Board'!H6+'Admin-ED'!H6</f>
        <v>0</v>
      </c>
      <c r="I6" s="43">
        <f>'Admin-Gen'!I6+'Admin-Board'!I6+'Admin-ED'!I6</f>
        <v>0</v>
      </c>
      <c r="J6" s="25">
        <f>'Admin-Gen'!J6+'Admin-Board'!J6+'Admin-ED'!J6</f>
        <v>0</v>
      </c>
      <c r="K6" s="25">
        <f>'Admin-Gen'!K6+'Admin-Board'!K6+'Admin-ED'!K6</f>
        <v>0</v>
      </c>
      <c r="L6" s="25">
        <f>'Admin-Gen'!L6+'Admin-Board'!L6+'Admin-ED'!L6</f>
        <v>0</v>
      </c>
      <c r="M6" s="25">
        <f>'Admin-Gen'!M6+'Admin-Board'!M6+'Admin-ED'!M6</f>
        <v>0</v>
      </c>
      <c r="N6" s="25">
        <f>'Admin-Gen'!N6+'Admin-Board'!N6+'Admin-ED'!N6</f>
        <v>0</v>
      </c>
      <c r="O6" s="25">
        <f>'Admin-Gen'!O6+'Admin-Board'!O6+'Admin-ED'!O6</f>
        <v>0</v>
      </c>
      <c r="P6">
        <f>SUM(D6:O6)</f>
        <v>0</v>
      </c>
    </row>
    <row r="7" spans="1:17" x14ac:dyDescent="0.3">
      <c r="A7" s="1"/>
      <c r="B7" s="94" t="s">
        <v>204</v>
      </c>
      <c r="D7" s="43">
        <f>'Admin-Gen'!D7+'Admin-Board'!D7+'Admin-ED'!D7</f>
        <v>0</v>
      </c>
      <c r="E7" s="43">
        <f>'Admin-Gen'!E7+'Admin-Board'!E7+'Admin-ED'!E7</f>
        <v>0</v>
      </c>
      <c r="F7" s="43">
        <f>'Admin-Gen'!F7+'Admin-Board'!F7+'Admin-ED'!F7</f>
        <v>0</v>
      </c>
      <c r="G7" s="43">
        <f>'Admin-Gen'!G7+'Admin-Board'!G7+'Admin-ED'!G7</f>
        <v>0</v>
      </c>
      <c r="H7" s="43">
        <f>'Admin-Gen'!H7+'Admin-Board'!H7+'Admin-ED'!H7</f>
        <v>0</v>
      </c>
      <c r="I7" s="43">
        <f>'Admin-Gen'!I7+'Admin-Board'!I7+'Admin-ED'!I7</f>
        <v>0</v>
      </c>
      <c r="J7" s="25">
        <f>'Admin-Gen'!J7+'Admin-Board'!J7+'Admin-ED'!J7</f>
        <v>0</v>
      </c>
      <c r="K7" s="25">
        <f>'Admin-Gen'!K7+'Admin-Board'!K7+'Admin-ED'!K7</f>
        <v>0</v>
      </c>
      <c r="L7" s="25">
        <f>'Admin-Gen'!L7+'Admin-Board'!L7+'Admin-ED'!L7</f>
        <v>0</v>
      </c>
      <c r="M7" s="25">
        <f>'Admin-Gen'!M7+'Admin-Board'!M7+'Admin-ED'!M7</f>
        <v>0</v>
      </c>
      <c r="N7" s="25">
        <f>'Admin-Gen'!N7+'Admin-Board'!N7+'Admin-ED'!N7</f>
        <v>0</v>
      </c>
      <c r="O7" s="25">
        <f>'Admin-Gen'!O7+'Admin-Board'!O7+'Admin-ED'!O7</f>
        <v>0</v>
      </c>
      <c r="P7">
        <f>SUM(D7:O7)</f>
        <v>0</v>
      </c>
    </row>
    <row r="8" spans="1:17" s="42" customFormat="1" x14ac:dyDescent="0.3">
      <c r="A8" s="1"/>
      <c r="B8" s="94" t="s">
        <v>205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7" x14ac:dyDescent="0.3">
      <c r="A9" s="1"/>
      <c r="B9" s="94" t="s">
        <v>4</v>
      </c>
      <c r="D9" s="43">
        <f>'Admin-Gen'!D9+'Admin-Board'!D9+'Admin-ED'!D9</f>
        <v>0</v>
      </c>
      <c r="E9" s="43">
        <f>'Admin-Gen'!E9+'Admin-Board'!E9+'Admin-ED'!E9</f>
        <v>0</v>
      </c>
      <c r="F9" s="43">
        <f>'Admin-Gen'!F9+'Admin-Board'!F9+'Admin-ED'!F9</f>
        <v>0</v>
      </c>
      <c r="G9" s="43">
        <f>'Admin-Gen'!G9+'Admin-Board'!G9+'Admin-ED'!G9</f>
        <v>0</v>
      </c>
      <c r="H9" s="43">
        <f>'Admin-Gen'!H9+'Admin-Board'!H9+'Admin-ED'!H9</f>
        <v>0</v>
      </c>
      <c r="I9" s="43">
        <f>'Admin-Gen'!I9+'Admin-Board'!I9+'Admin-ED'!I9</f>
        <v>0</v>
      </c>
      <c r="J9" s="25">
        <f>'Admin-Gen'!J9+'Admin-Board'!J9+'Admin-ED'!J9</f>
        <v>0</v>
      </c>
      <c r="K9" s="25">
        <f>'Admin-Gen'!K9+'Admin-Board'!K9+'Admin-ED'!K9</f>
        <v>0</v>
      </c>
      <c r="L9" s="25">
        <f>'Admin-Gen'!L9+'Admin-Board'!L9+'Admin-ED'!L9</f>
        <v>0</v>
      </c>
      <c r="M9" s="25">
        <f>'Admin-Gen'!M9+'Admin-Board'!M9+'Admin-ED'!M9</f>
        <v>0</v>
      </c>
      <c r="N9" s="25">
        <f>'Admin-Gen'!N9+'Admin-Board'!N9+'Admin-ED'!N9</f>
        <v>0</v>
      </c>
      <c r="O9" s="25">
        <f>'Admin-Gen'!O9+'Admin-Board'!O9+'Admin-ED'!O9</f>
        <v>0</v>
      </c>
      <c r="P9">
        <f>SUM(D9:O9)</f>
        <v>0</v>
      </c>
    </row>
    <row r="10" spans="1:17" s="42" customFormat="1" x14ac:dyDescent="0.3">
      <c r="A10" s="1"/>
      <c r="B10" s="94" t="s">
        <v>206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7" x14ac:dyDescent="0.3">
      <c r="A11" s="1"/>
      <c r="B11" s="94" t="s">
        <v>207</v>
      </c>
      <c r="D11" s="43">
        <f>'Admin-Gen'!D11+'Admin-Board'!D11+'Admin-ED'!D11</f>
        <v>0</v>
      </c>
      <c r="E11" s="43">
        <f>'Admin-Gen'!E11+'Admin-Board'!E11+'Admin-ED'!E11</f>
        <v>0</v>
      </c>
      <c r="F11" s="43">
        <f>'Admin-Gen'!F11+'Admin-Board'!F11+'Admin-ED'!F11</f>
        <v>0</v>
      </c>
      <c r="G11" s="43">
        <f>'Admin-Gen'!G11+'Admin-Board'!G11+'Admin-ED'!G11</f>
        <v>0</v>
      </c>
      <c r="H11" s="43">
        <f>'Admin-Gen'!H11+'Admin-Board'!H11+'Admin-ED'!H11</f>
        <v>0</v>
      </c>
      <c r="I11" s="43">
        <f>'Admin-Gen'!I11+'Admin-Board'!I11+'Admin-ED'!I11</f>
        <v>0</v>
      </c>
      <c r="J11" s="25">
        <f>'Admin-Gen'!J11+'Admin-Board'!J11+'Admin-ED'!J11</f>
        <v>0</v>
      </c>
      <c r="K11" s="25">
        <f>'Admin-Gen'!K11+'Admin-Board'!K11+'Admin-ED'!K11</f>
        <v>0</v>
      </c>
      <c r="L11" s="25">
        <f>'Admin-Gen'!L11+'Admin-Board'!L11+'Admin-ED'!L11</f>
        <v>0</v>
      </c>
      <c r="M11" s="25">
        <f>'Admin-Gen'!M11+'Admin-Board'!M11+'Admin-ED'!M11</f>
        <v>0</v>
      </c>
      <c r="N11" s="25">
        <f>'Admin-Gen'!N11+'Admin-Board'!N11+'Admin-ED'!N11</f>
        <v>0</v>
      </c>
      <c r="O11" s="25">
        <f>'Admin-Gen'!O11+'Admin-Board'!O11+'Admin-ED'!O11</f>
        <v>0</v>
      </c>
      <c r="P11">
        <f>SUM(D11:O11)</f>
        <v>0</v>
      </c>
    </row>
    <row r="12" spans="1:17" x14ac:dyDescent="0.3">
      <c r="A12" s="195" t="s">
        <v>6</v>
      </c>
      <c r="B12" s="195"/>
      <c r="D12" s="4">
        <f t="shared" ref="D12:I12" si="0">SUM(D6:D11)</f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ref="J12:P12" si="1">SUM(J6:J11)</f>
        <v>0</v>
      </c>
      <c r="K12" s="4">
        <f t="shared" si="1"/>
        <v>0</v>
      </c>
      <c r="L12" s="4">
        <f t="shared" si="1"/>
        <v>0</v>
      </c>
      <c r="M12" s="4">
        <f t="shared" si="1"/>
        <v>0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8">
        <f>P12-P6-P7-P9-P11</f>
        <v>0</v>
      </c>
    </row>
    <row r="13" spans="1:17" x14ac:dyDescent="0.3">
      <c r="A13" s="195" t="s">
        <v>7</v>
      </c>
      <c r="B13" s="195"/>
      <c r="D13" s="42"/>
      <c r="E13" s="42"/>
      <c r="F13" s="42"/>
      <c r="G13" s="42"/>
      <c r="H13" s="42"/>
      <c r="I13" s="42"/>
    </row>
    <row r="14" spans="1:17" x14ac:dyDescent="0.3">
      <c r="A14" s="1"/>
      <c r="B14" s="97" t="s">
        <v>8</v>
      </c>
      <c r="D14" s="43">
        <f>'Admin-Gen'!D14+'Admin-Board'!D14+'Admin-ED'!D14</f>
        <v>0</v>
      </c>
      <c r="E14" s="43">
        <f>'Admin-Gen'!E14+'Admin-Board'!E14+'Admin-ED'!E14</f>
        <v>0</v>
      </c>
      <c r="F14" s="43">
        <f>'Admin-Gen'!F14+'Admin-Board'!F14+'Admin-ED'!F14</f>
        <v>0</v>
      </c>
      <c r="G14" s="43">
        <f>'Admin-Gen'!G14+'Admin-Board'!G14+'Admin-ED'!G14</f>
        <v>0</v>
      </c>
      <c r="H14" s="43">
        <f>'Admin-Gen'!H14+'Admin-Board'!H14+'Admin-ED'!H14</f>
        <v>0</v>
      </c>
      <c r="I14" s="43">
        <f>'Admin-Gen'!I14+'Admin-Board'!I14+'Admin-ED'!I14</f>
        <v>0</v>
      </c>
      <c r="J14" s="25">
        <f>'Admin-Gen'!J14+'Admin-Board'!J14+'Admin-ED'!J14</f>
        <v>0</v>
      </c>
      <c r="K14" s="25">
        <f>'Admin-Gen'!K14+'Admin-Board'!K14+'Admin-ED'!K14</f>
        <v>0</v>
      </c>
      <c r="L14" s="25">
        <f>'Admin-Gen'!L14+'Admin-Board'!L14+'Admin-ED'!L14</f>
        <v>0</v>
      </c>
      <c r="M14" s="25">
        <f>'Admin-Gen'!M14+'Admin-Board'!M14+'Admin-ED'!M14</f>
        <v>0</v>
      </c>
      <c r="N14" s="25">
        <f>'Admin-Gen'!N14+'Admin-Board'!N14+'Admin-ED'!N14</f>
        <v>0</v>
      </c>
      <c r="O14" s="25">
        <f>'Admin-Gen'!O14+'Admin-Board'!O14+'Admin-ED'!O14</f>
        <v>0</v>
      </c>
      <c r="P14">
        <f>SUM(D14:O14)</f>
        <v>0</v>
      </c>
    </row>
    <row r="15" spans="1:17" x14ac:dyDescent="0.3">
      <c r="A15" s="1"/>
      <c r="B15" s="97" t="s">
        <v>9</v>
      </c>
      <c r="D15" s="43">
        <f>'Admin-Gen'!D15+'Admin-Board'!D15+'Admin-ED'!D15</f>
        <v>0</v>
      </c>
      <c r="E15" s="43">
        <f>'Admin-Gen'!E15+'Admin-Board'!E15+'Admin-ED'!E15</f>
        <v>0</v>
      </c>
      <c r="F15" s="43">
        <f>'Admin-Gen'!F15+'Admin-Board'!F15+'Admin-ED'!F15</f>
        <v>0</v>
      </c>
      <c r="G15" s="43">
        <f>'Admin-Gen'!G15+'Admin-Board'!G15+'Admin-ED'!G15</f>
        <v>0</v>
      </c>
      <c r="H15" s="43">
        <f>'Admin-Gen'!H15+'Admin-Board'!H15+'Admin-ED'!H15</f>
        <v>0</v>
      </c>
      <c r="I15" s="43">
        <f>'Admin-Gen'!I15+'Admin-Board'!I15+'Admin-ED'!I15</f>
        <v>0</v>
      </c>
      <c r="J15" s="25">
        <f>'Admin-Gen'!J15+'Admin-Board'!J15+'Admin-ED'!J15</f>
        <v>0</v>
      </c>
      <c r="K15" s="25">
        <f>'Admin-Gen'!K15+'Admin-Board'!K15+'Admin-ED'!K15</f>
        <v>0</v>
      </c>
      <c r="L15" s="25">
        <f>'Admin-Gen'!L15+'Admin-Board'!L15+'Admin-ED'!L15</f>
        <v>0</v>
      </c>
      <c r="M15" s="25">
        <f>'Admin-Gen'!M15+'Admin-Board'!M15+'Admin-ED'!M15</f>
        <v>0</v>
      </c>
      <c r="N15" s="25">
        <f>'Admin-Gen'!N15+'Admin-Board'!N15+'Admin-ED'!N15</f>
        <v>0</v>
      </c>
      <c r="O15" s="25">
        <f>'Admin-Gen'!O15+'Admin-Board'!O15+'Admin-ED'!O15</f>
        <v>0</v>
      </c>
      <c r="P15">
        <f>SUM(D15:O15)</f>
        <v>0</v>
      </c>
    </row>
    <row r="16" spans="1:17" x14ac:dyDescent="0.3">
      <c r="A16" s="1"/>
      <c r="B16" s="97" t="s">
        <v>219</v>
      </c>
      <c r="D16" s="43">
        <f>'Admin-Gen'!D16+'Admin-Board'!D16+'Admin-ED'!D16</f>
        <v>0</v>
      </c>
      <c r="E16" s="43">
        <f>'Admin-Gen'!E16+'Admin-Board'!E16+'Admin-ED'!E16</f>
        <v>0</v>
      </c>
      <c r="F16" s="43">
        <f>'Admin-Gen'!F16+'Admin-Board'!F16+'Admin-ED'!F16</f>
        <v>0</v>
      </c>
      <c r="G16" s="43">
        <f>'Admin-Gen'!G16+'Admin-Board'!G16+'Admin-ED'!G16</f>
        <v>0</v>
      </c>
      <c r="H16" s="43">
        <f>'Admin-Gen'!H16+'Admin-Board'!H16+'Admin-ED'!H16</f>
        <v>0</v>
      </c>
      <c r="I16" s="43">
        <f>'Admin-Gen'!I16+'Admin-Board'!I16+'Admin-ED'!I16</f>
        <v>0</v>
      </c>
      <c r="J16" s="25">
        <f>'Admin-Gen'!J16+'Admin-Board'!J16+'Admin-ED'!J16</f>
        <v>0</v>
      </c>
      <c r="K16" s="25">
        <f>'Admin-Gen'!K16+'Admin-Board'!K16+'Admin-ED'!K16</f>
        <v>0</v>
      </c>
      <c r="L16" s="25">
        <f>'Admin-Gen'!L16+'Admin-Board'!L16+'Admin-ED'!L16</f>
        <v>0</v>
      </c>
      <c r="M16" s="25">
        <f>'Admin-Gen'!M16+'Admin-Board'!M16+'Admin-ED'!M16</f>
        <v>0</v>
      </c>
      <c r="N16" s="25">
        <f>'Admin-Gen'!N16+'Admin-Board'!N16+'Admin-ED'!N16</f>
        <v>0</v>
      </c>
      <c r="O16" s="25">
        <f>'Admin-Gen'!O16+'Admin-Board'!O16+'Admin-ED'!O16</f>
        <v>0</v>
      </c>
      <c r="P16">
        <f>SUM(D16:O16)</f>
        <v>0</v>
      </c>
    </row>
    <row r="17" spans="1:17" x14ac:dyDescent="0.3">
      <c r="A17" s="1"/>
      <c r="B17" s="66" t="s">
        <v>16</v>
      </c>
      <c r="D17" s="43">
        <f>'Admin-Gen'!D17+'Admin-Board'!D17+'Admin-ED'!D17</f>
        <v>0</v>
      </c>
      <c r="E17" s="43">
        <f>'Admin-Gen'!E17+'Admin-Board'!E17+'Admin-ED'!E17</f>
        <v>0</v>
      </c>
      <c r="F17" s="43">
        <f>'Admin-Gen'!F17+'Admin-Board'!F17+'Admin-ED'!F17</f>
        <v>0</v>
      </c>
      <c r="G17" s="43">
        <f>'Admin-Gen'!G17+'Admin-Board'!G17+'Admin-ED'!G17</f>
        <v>0</v>
      </c>
      <c r="H17" s="43">
        <f>'Admin-Gen'!H17+'Admin-Board'!H17+'Admin-ED'!H17</f>
        <v>0</v>
      </c>
      <c r="I17" s="43">
        <f>'Admin-Gen'!I17+'Admin-Board'!I17+'Admin-ED'!I17</f>
        <v>0</v>
      </c>
      <c r="J17" s="25">
        <f>'Admin-Gen'!J17+'Admin-Board'!J17+'Admin-ED'!J17</f>
        <v>0</v>
      </c>
      <c r="K17" s="25">
        <f>'Admin-Gen'!K17+'Admin-Board'!K17+'Admin-ED'!K17</f>
        <v>0</v>
      </c>
      <c r="L17" s="25">
        <f>'Admin-Gen'!L17+'Admin-Board'!L17+'Admin-ED'!L17</f>
        <v>0</v>
      </c>
      <c r="M17" s="25">
        <f>'Admin-Gen'!M17+'Admin-Board'!M17+'Admin-ED'!M17</f>
        <v>0</v>
      </c>
      <c r="N17" s="25">
        <f>'Admin-Gen'!N17+'Admin-Board'!N17+'Admin-ED'!N17</f>
        <v>0</v>
      </c>
      <c r="O17" s="25">
        <f>'Admin-Gen'!O17+'Admin-Board'!O17+'Admin-ED'!O17</f>
        <v>0</v>
      </c>
      <c r="P17">
        <f>SUM(D17:O17)</f>
        <v>0</v>
      </c>
    </row>
    <row r="18" spans="1:17" x14ac:dyDescent="0.3">
      <c r="A18" s="195" t="s">
        <v>10</v>
      </c>
      <c r="B18" s="195"/>
      <c r="D18" s="4">
        <f t="shared" ref="D18:I18" si="2">SUM(D14:D17)</f>
        <v>0</v>
      </c>
      <c r="E18" s="4">
        <f t="shared" si="2"/>
        <v>0</v>
      </c>
      <c r="F18" s="4">
        <f t="shared" si="2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4">
        <f t="shared" ref="J18:P18" si="3">SUM(J14:J17)</f>
        <v>0</v>
      </c>
      <c r="K18" s="4">
        <f t="shared" si="3"/>
        <v>0</v>
      </c>
      <c r="L18" s="4">
        <f t="shared" si="3"/>
        <v>0</v>
      </c>
      <c r="M18" s="4">
        <f t="shared" si="3"/>
        <v>0</v>
      </c>
      <c r="N18" s="4">
        <f t="shared" si="3"/>
        <v>0</v>
      </c>
      <c r="O18" s="4">
        <f t="shared" si="3"/>
        <v>0</v>
      </c>
      <c r="P18" s="4">
        <f t="shared" si="3"/>
        <v>0</v>
      </c>
      <c r="Q18" s="8">
        <f>P18-P14-P15-P16-P17</f>
        <v>0</v>
      </c>
    </row>
    <row r="19" spans="1:17" x14ac:dyDescent="0.3">
      <c r="A19" s="195" t="s">
        <v>11</v>
      </c>
      <c r="B19" s="195"/>
      <c r="D19" s="42"/>
      <c r="E19" s="42"/>
      <c r="F19" s="42"/>
      <c r="G19" s="42"/>
      <c r="H19" s="42"/>
      <c r="I19" s="42"/>
    </row>
    <row r="20" spans="1:17" x14ac:dyDescent="0.3">
      <c r="A20" s="1"/>
      <c r="B20" s="2" t="s">
        <v>12</v>
      </c>
      <c r="D20" s="43">
        <f>'Admin-Gen'!D20+'Admin-Board'!D20+'Admin-ED'!D20</f>
        <v>0</v>
      </c>
      <c r="E20" s="43">
        <f>'Admin-Gen'!E20+'Admin-Board'!E20+'Admin-ED'!E20</f>
        <v>0</v>
      </c>
      <c r="F20" s="43">
        <f>'Admin-Gen'!F20+'Admin-Board'!F20+'Admin-ED'!F20</f>
        <v>0</v>
      </c>
      <c r="G20" s="43">
        <f>'Admin-Gen'!G20+'Admin-Board'!G20+'Admin-ED'!G20</f>
        <v>0</v>
      </c>
      <c r="H20" s="43">
        <f>'Admin-Gen'!H20+'Admin-Board'!H20+'Admin-ED'!H20</f>
        <v>0</v>
      </c>
      <c r="I20" s="43">
        <f>'Admin-Gen'!I20+'Admin-Board'!I20+'Admin-ED'!I20</f>
        <v>0</v>
      </c>
      <c r="J20" s="25">
        <f>'Admin-Gen'!J20+'Admin-Board'!J20+'Admin-ED'!J20</f>
        <v>0</v>
      </c>
      <c r="K20" s="25">
        <f>'Admin-Gen'!K20+'Admin-Board'!K20+'Admin-ED'!K20</f>
        <v>0</v>
      </c>
      <c r="L20" s="25">
        <f>'Admin-Gen'!L20+'Admin-Board'!L20+'Admin-ED'!L20</f>
        <v>0</v>
      </c>
      <c r="M20" s="25">
        <f>'Admin-Gen'!M20+'Admin-Board'!M20+'Admin-ED'!M20</f>
        <v>0</v>
      </c>
      <c r="N20" s="25">
        <f>'Admin-Gen'!N20+'Admin-Board'!N20+'Admin-ED'!N20</f>
        <v>0</v>
      </c>
      <c r="O20" s="25">
        <f>'Admin-Gen'!O20+'Admin-Board'!O20+'Admin-ED'!O20</f>
        <v>0</v>
      </c>
      <c r="P20">
        <f t="shared" ref="P20:P25" si="4">SUM(D20:O20)</f>
        <v>0</v>
      </c>
    </row>
    <row r="21" spans="1:17" x14ac:dyDescent="0.3">
      <c r="A21" s="1"/>
      <c r="B21" s="2" t="s">
        <v>96</v>
      </c>
      <c r="D21" s="43">
        <f>'Admin-Gen'!D21+'Admin-Board'!D21+'Admin-ED'!D21</f>
        <v>0</v>
      </c>
      <c r="E21" s="43">
        <f>'Admin-Gen'!E21+'Admin-Board'!E21+'Admin-ED'!E21</f>
        <v>0</v>
      </c>
      <c r="F21" s="43">
        <f>'Admin-Gen'!F21+'Admin-Board'!F21+'Admin-ED'!F21</f>
        <v>0</v>
      </c>
      <c r="G21" s="43">
        <f>'Admin-Gen'!G21+'Admin-Board'!G21+'Admin-ED'!G21</f>
        <v>0</v>
      </c>
      <c r="H21" s="43">
        <f>'Admin-Gen'!H21+'Admin-Board'!H21+'Admin-ED'!H21</f>
        <v>0</v>
      </c>
      <c r="I21" s="43">
        <f>'Admin-Gen'!I21+'Admin-Board'!I21+'Admin-ED'!I21</f>
        <v>0</v>
      </c>
      <c r="J21" s="25">
        <f>'Admin-Gen'!J21+'Admin-Board'!J21+'Admin-ED'!J21</f>
        <v>0</v>
      </c>
      <c r="K21" s="25">
        <f>'Admin-Gen'!K21+'Admin-Board'!K21+'Admin-ED'!K21</f>
        <v>0</v>
      </c>
      <c r="L21" s="25">
        <f>'Admin-Gen'!L21+'Admin-Board'!L21+'Admin-ED'!L21</f>
        <v>0</v>
      </c>
      <c r="M21" s="25">
        <f>'Admin-Gen'!M21+'Admin-Board'!M21+'Admin-ED'!M21</f>
        <v>0</v>
      </c>
      <c r="N21" s="25">
        <f>'Admin-Gen'!N21+'Admin-Board'!N21+'Admin-ED'!N21</f>
        <v>0</v>
      </c>
      <c r="O21" s="25">
        <f>'Admin-Gen'!O21+'Admin-Board'!O21+'Admin-ED'!O21</f>
        <v>0</v>
      </c>
      <c r="P21">
        <f t="shared" si="4"/>
        <v>0</v>
      </c>
    </row>
    <row r="22" spans="1:17" x14ac:dyDescent="0.3">
      <c r="A22" s="1"/>
      <c r="B22" s="2" t="s">
        <v>97</v>
      </c>
      <c r="D22" s="43">
        <f>'Admin-Gen'!D22+'Admin-Board'!D22+'Admin-ED'!D22</f>
        <v>0</v>
      </c>
      <c r="E22" s="43">
        <f>'Admin-Gen'!E22+'Admin-Board'!E22+'Admin-ED'!E22</f>
        <v>0</v>
      </c>
      <c r="F22" s="43">
        <f>'Admin-Gen'!F22+'Admin-Board'!F22+'Admin-ED'!F22</f>
        <v>0</v>
      </c>
      <c r="G22" s="43">
        <f>'Admin-Gen'!G22+'Admin-Board'!G22+'Admin-ED'!G22</f>
        <v>0</v>
      </c>
      <c r="H22" s="43">
        <f>'Admin-Gen'!H22+'Admin-Board'!H22+'Admin-ED'!H22</f>
        <v>0</v>
      </c>
      <c r="I22" s="43">
        <f>'Admin-Gen'!I22+'Admin-Board'!I22+'Admin-ED'!I22</f>
        <v>0</v>
      </c>
      <c r="J22" s="25">
        <f>'Admin-Gen'!J22+'Admin-Board'!J22+'Admin-ED'!J22</f>
        <v>0</v>
      </c>
      <c r="K22" s="25">
        <f>'Admin-Gen'!K22+'Admin-Board'!K22+'Admin-ED'!K22</f>
        <v>0</v>
      </c>
      <c r="L22" s="25">
        <f>'Admin-Gen'!L22+'Admin-Board'!L22+'Admin-ED'!L22</f>
        <v>0</v>
      </c>
      <c r="M22" s="25">
        <f>'Admin-Gen'!M22+'Admin-Board'!M22+'Admin-ED'!M22</f>
        <v>0</v>
      </c>
      <c r="N22" s="25">
        <f>'Admin-Gen'!N22+'Admin-Board'!N22+'Admin-ED'!N22</f>
        <v>0</v>
      </c>
      <c r="O22" s="25">
        <f>'Admin-Gen'!O22+'Admin-Board'!O22+'Admin-ED'!O22</f>
        <v>0</v>
      </c>
      <c r="P22">
        <f t="shared" si="4"/>
        <v>0</v>
      </c>
    </row>
    <row r="23" spans="1:17" x14ac:dyDescent="0.3">
      <c r="A23" s="1"/>
      <c r="B23" s="2" t="s">
        <v>13</v>
      </c>
      <c r="D23" s="43">
        <f>'Admin-Gen'!D23+'Admin-Board'!D23+'Admin-ED'!D23</f>
        <v>0</v>
      </c>
      <c r="E23" s="43">
        <f>'Admin-Gen'!E23+'Admin-Board'!E23+'Admin-ED'!E23</f>
        <v>0</v>
      </c>
      <c r="F23" s="43">
        <f>'Admin-Gen'!F23+'Admin-Board'!F23+'Admin-ED'!F23</f>
        <v>0</v>
      </c>
      <c r="G23" s="43">
        <f>'Admin-Gen'!G23+'Admin-Board'!G23+'Admin-ED'!G23</f>
        <v>0</v>
      </c>
      <c r="H23" s="43">
        <f>'Admin-Gen'!H23+'Admin-Board'!H23+'Admin-ED'!H23</f>
        <v>0</v>
      </c>
      <c r="I23" s="43">
        <f>'Admin-Gen'!I23+'Admin-Board'!I23+'Admin-ED'!I23</f>
        <v>0</v>
      </c>
      <c r="J23" s="25">
        <f>'Admin-Gen'!J23+'Admin-Board'!J23+'Admin-ED'!J23</f>
        <v>0</v>
      </c>
      <c r="K23" s="25">
        <f>'Admin-Gen'!K23+'Admin-Board'!K23+'Admin-ED'!K23</f>
        <v>0</v>
      </c>
      <c r="L23" s="25">
        <f>'Admin-Gen'!L23+'Admin-Board'!L23+'Admin-ED'!L23</f>
        <v>0</v>
      </c>
      <c r="M23" s="25">
        <f>'Admin-Gen'!M23+'Admin-Board'!M23+'Admin-ED'!M23</f>
        <v>0</v>
      </c>
      <c r="N23" s="25">
        <f>'Admin-Gen'!N23+'Admin-Board'!N23+'Admin-ED'!N23</f>
        <v>0</v>
      </c>
      <c r="O23" s="25">
        <f>'Admin-Gen'!O23+'Admin-Board'!O23+'Admin-ED'!O23</f>
        <v>0</v>
      </c>
      <c r="P23">
        <f t="shared" si="4"/>
        <v>0</v>
      </c>
    </row>
    <row r="24" spans="1:17" x14ac:dyDescent="0.3">
      <c r="A24" s="1"/>
      <c r="B24" s="2" t="s">
        <v>14</v>
      </c>
      <c r="D24" s="43">
        <f>'Admin-Gen'!D24+'Admin-Board'!D24+'Admin-ED'!D24</f>
        <v>0</v>
      </c>
      <c r="E24" s="43">
        <f>'Admin-Gen'!E24+'Admin-Board'!E24+'Admin-ED'!E24</f>
        <v>0</v>
      </c>
      <c r="F24" s="43">
        <f>'Admin-Gen'!F24+'Admin-Board'!F24+'Admin-ED'!F24</f>
        <v>0</v>
      </c>
      <c r="G24" s="43">
        <f>'Admin-Gen'!G24+'Admin-Board'!G24+'Admin-ED'!G24</f>
        <v>0</v>
      </c>
      <c r="H24" s="43">
        <f>'Admin-Gen'!H24+'Admin-Board'!H24+'Admin-ED'!H24</f>
        <v>0</v>
      </c>
      <c r="I24" s="43">
        <f>'Admin-Gen'!I24+'Admin-Board'!I24+'Admin-ED'!I24</f>
        <v>0</v>
      </c>
      <c r="J24" s="25">
        <f>'Admin-Gen'!J24+'Admin-Board'!J24+'Admin-ED'!J24</f>
        <v>0</v>
      </c>
      <c r="K24" s="25">
        <f>'Admin-Gen'!K24+'Admin-Board'!K24+'Admin-ED'!K24</f>
        <v>0</v>
      </c>
      <c r="L24" s="25">
        <f>'Admin-Gen'!L24+'Admin-Board'!L24+'Admin-ED'!L24</f>
        <v>0</v>
      </c>
      <c r="M24" s="25">
        <f>'Admin-Gen'!M24+'Admin-Board'!M24+'Admin-ED'!M24</f>
        <v>0</v>
      </c>
      <c r="N24" s="25">
        <f>'Admin-Gen'!N24+'Admin-Board'!N24+'Admin-ED'!N24</f>
        <v>0</v>
      </c>
      <c r="O24" s="25">
        <f>'Admin-Gen'!O24+'Admin-Board'!O24+'Admin-ED'!O24</f>
        <v>0</v>
      </c>
      <c r="P24">
        <f t="shared" si="4"/>
        <v>0</v>
      </c>
    </row>
    <row r="25" spans="1:17" x14ac:dyDescent="0.3">
      <c r="A25" s="1"/>
      <c r="B25" s="1"/>
      <c r="D25" s="43">
        <f>'Admin-Gen'!D25+'Admin-Board'!D25+'Admin-ED'!D25</f>
        <v>0</v>
      </c>
      <c r="E25" s="43">
        <f>'Admin-Gen'!E25+'Admin-Board'!E25+'Admin-ED'!E25</f>
        <v>0</v>
      </c>
      <c r="F25" s="43">
        <f>'Admin-Gen'!F25+'Admin-Board'!F25+'Admin-ED'!F25</f>
        <v>0</v>
      </c>
      <c r="G25" s="43">
        <f>'Admin-Gen'!G25+'Admin-Board'!G25+'Admin-ED'!G25</f>
        <v>0</v>
      </c>
      <c r="H25" s="43">
        <f>'Admin-Gen'!H25+'Admin-Board'!H25+'Admin-ED'!H25</f>
        <v>0</v>
      </c>
      <c r="I25" s="43">
        <f>'Admin-Gen'!I25+'Admin-Board'!I25+'Admin-ED'!I25</f>
        <v>0</v>
      </c>
      <c r="J25" s="25">
        <f>'Admin-Gen'!J25+'Admin-Board'!J25+'Admin-ED'!J25</f>
        <v>0</v>
      </c>
      <c r="K25" s="25">
        <f>'Admin-Gen'!K25+'Admin-Board'!K25+'Admin-ED'!K25</f>
        <v>0</v>
      </c>
      <c r="L25" s="25">
        <f>'Admin-Gen'!L25+'Admin-Board'!L25+'Admin-ED'!L25</f>
        <v>0</v>
      </c>
      <c r="M25" s="25">
        <f>'Admin-Gen'!M25+'Admin-Board'!M25+'Admin-ED'!M25</f>
        <v>0</v>
      </c>
      <c r="N25" s="25">
        <f>'Admin-Gen'!N25+'Admin-Board'!N25+'Admin-ED'!N25</f>
        <v>0</v>
      </c>
      <c r="O25" s="25">
        <f>'Admin-Gen'!O25+'Admin-Board'!O25+'Admin-ED'!O25</f>
        <v>0</v>
      </c>
      <c r="P25">
        <f t="shared" si="4"/>
        <v>0</v>
      </c>
    </row>
    <row r="26" spans="1:17" x14ac:dyDescent="0.3">
      <c r="A26" s="195" t="s">
        <v>15</v>
      </c>
      <c r="B26" s="195"/>
      <c r="D26" s="4">
        <f t="shared" ref="D26:I26" si="5">SUM(D20:D25)</f>
        <v>0</v>
      </c>
      <c r="E26" s="4">
        <f t="shared" si="5"/>
        <v>0</v>
      </c>
      <c r="F26" s="4">
        <f t="shared" si="5"/>
        <v>0</v>
      </c>
      <c r="G26" s="4">
        <f t="shared" si="5"/>
        <v>0</v>
      </c>
      <c r="H26" s="4">
        <f t="shared" si="5"/>
        <v>0</v>
      </c>
      <c r="I26" s="4">
        <f t="shared" si="5"/>
        <v>0</v>
      </c>
      <c r="J26" s="4">
        <f t="shared" ref="J26:P26" si="6">SUM(J20:J25)</f>
        <v>0</v>
      </c>
      <c r="K26" s="4">
        <f t="shared" si="6"/>
        <v>0</v>
      </c>
      <c r="L26" s="4">
        <f t="shared" si="6"/>
        <v>0</v>
      </c>
      <c r="M26" s="4">
        <f t="shared" si="6"/>
        <v>0</v>
      </c>
      <c r="N26" s="4">
        <f t="shared" si="6"/>
        <v>0</v>
      </c>
      <c r="O26" s="4">
        <f t="shared" si="6"/>
        <v>0</v>
      </c>
      <c r="P26" s="4">
        <f t="shared" si="6"/>
        <v>0</v>
      </c>
      <c r="Q26" s="8">
        <f>SUM(P20:P25)-P26</f>
        <v>0</v>
      </c>
    </row>
    <row r="27" spans="1:17" x14ac:dyDescent="0.3">
      <c r="A27" s="195" t="s">
        <v>16</v>
      </c>
      <c r="B27" s="195"/>
      <c r="D27" s="42"/>
      <c r="E27" s="42"/>
      <c r="F27" s="42"/>
      <c r="G27" s="42"/>
      <c r="H27" s="42"/>
      <c r="I27" s="42"/>
    </row>
    <row r="28" spans="1:17" x14ac:dyDescent="0.3">
      <c r="A28" s="2" t="s">
        <v>17</v>
      </c>
      <c r="B28" s="2" t="s">
        <v>18</v>
      </c>
      <c r="D28" s="43">
        <f>'Admin-Gen'!D28+'Admin-Board'!D28+'Admin-ED'!D28</f>
        <v>0</v>
      </c>
      <c r="E28" s="43">
        <f>'Admin-Gen'!E28+'Admin-Board'!E28+'Admin-ED'!E28</f>
        <v>0</v>
      </c>
      <c r="F28" s="43">
        <f>'Admin-Gen'!F28+'Admin-Board'!F28+'Admin-ED'!F28</f>
        <v>0</v>
      </c>
      <c r="G28" s="43">
        <f>'Admin-Gen'!G28+'Admin-Board'!G28+'Admin-ED'!G28</f>
        <v>0</v>
      </c>
      <c r="H28" s="43">
        <f>'Admin-Gen'!H28+'Admin-Board'!H28+'Admin-ED'!H28</f>
        <v>0</v>
      </c>
      <c r="I28" s="43">
        <f>'Admin-Gen'!I28+'Admin-Board'!I28+'Admin-ED'!I28</f>
        <v>0</v>
      </c>
      <c r="J28" s="25">
        <f>'Admin-Gen'!J28+'Admin-Board'!J28+'Admin-ED'!J28</f>
        <v>0</v>
      </c>
      <c r="K28" s="25">
        <f>'Admin-Gen'!K28+'Admin-Board'!K28+'Admin-ED'!K28</f>
        <v>0</v>
      </c>
      <c r="L28" s="25">
        <f>'Admin-Gen'!L28+'Admin-Board'!L28+'Admin-ED'!L28</f>
        <v>0</v>
      </c>
      <c r="M28" s="25">
        <f>'Admin-Gen'!M28+'Admin-Board'!M28+'Admin-ED'!M28</f>
        <v>0</v>
      </c>
      <c r="N28" s="25">
        <f>'Admin-Gen'!N28+'Admin-Board'!N28+'Admin-ED'!N28</f>
        <v>0</v>
      </c>
      <c r="O28" s="25">
        <f>'Admin-Gen'!O28+'Admin-Board'!O28+'Admin-ED'!O28</f>
        <v>0</v>
      </c>
      <c r="P28">
        <f>SUM(D28:O28)</f>
        <v>0</v>
      </c>
    </row>
    <row r="29" spans="1:17" x14ac:dyDescent="0.3">
      <c r="A29" s="2" t="s">
        <v>17</v>
      </c>
      <c r="B29" s="2" t="s">
        <v>19</v>
      </c>
      <c r="D29" s="43">
        <f>'Admin-Gen'!D29+'Admin-Board'!D29+'Admin-ED'!D29</f>
        <v>175</v>
      </c>
      <c r="E29" s="43">
        <f>'Admin-Gen'!E29+'Admin-Board'!E29+'Admin-ED'!E29</f>
        <v>175</v>
      </c>
      <c r="F29" s="43">
        <f>'Admin-Gen'!F29+'Admin-Board'!F29+'Admin-ED'!F29</f>
        <v>175</v>
      </c>
      <c r="G29" s="43">
        <f>'Admin-Gen'!G29+'Admin-Board'!G29+'Admin-ED'!G29</f>
        <v>175</v>
      </c>
      <c r="H29" s="43">
        <f>'Admin-Gen'!H29+'Admin-Board'!H29+'Admin-ED'!H29</f>
        <v>175</v>
      </c>
      <c r="I29" s="43">
        <f>'Admin-Gen'!I29+'Admin-Board'!I29+'Admin-ED'!I29</f>
        <v>175</v>
      </c>
      <c r="J29" s="25">
        <f>'Admin-Gen'!J29+'Admin-Board'!J29+'Admin-ED'!J29</f>
        <v>175</v>
      </c>
      <c r="K29" s="25">
        <f>'Admin-Gen'!K29+'Admin-Board'!K29+'Admin-ED'!K29</f>
        <v>175</v>
      </c>
      <c r="L29" s="25">
        <f>'Admin-Gen'!L29+'Admin-Board'!L29+'Admin-ED'!L29</f>
        <v>175</v>
      </c>
      <c r="M29" s="25">
        <f>'Admin-Gen'!M29+'Admin-Board'!M29+'Admin-ED'!M29</f>
        <v>175</v>
      </c>
      <c r="N29" s="25">
        <f>'Admin-Gen'!N29+'Admin-Board'!N29+'Admin-ED'!N29</f>
        <v>175</v>
      </c>
      <c r="O29" s="25">
        <f>'Admin-Gen'!O29+'Admin-Board'!O29+'Admin-ED'!O29</f>
        <v>175</v>
      </c>
      <c r="P29">
        <f>SUM(D29:O29)</f>
        <v>2100</v>
      </c>
    </row>
    <row r="30" spans="1:17" x14ac:dyDescent="0.3">
      <c r="A30" s="2" t="s">
        <v>17</v>
      </c>
      <c r="B30" s="2" t="s">
        <v>20</v>
      </c>
      <c r="D30" s="43">
        <f>'Admin-Gen'!D30+'Admin-Board'!D30+'Admin-ED'!D30</f>
        <v>150</v>
      </c>
      <c r="E30" s="43">
        <f>'Admin-Gen'!E30+'Admin-Board'!E30+'Admin-ED'!E30</f>
        <v>150</v>
      </c>
      <c r="F30" s="43">
        <f>'Admin-Gen'!F30+'Admin-Board'!F30+'Admin-ED'!F30</f>
        <v>150</v>
      </c>
      <c r="G30" s="43">
        <f>'Admin-Gen'!G30+'Admin-Board'!G30+'Admin-ED'!G30</f>
        <v>150</v>
      </c>
      <c r="H30" s="43">
        <f>'Admin-Gen'!H30+'Admin-Board'!H30+'Admin-ED'!H30</f>
        <v>150</v>
      </c>
      <c r="I30" s="43">
        <f>'Admin-Gen'!I30+'Admin-Board'!I30+'Admin-ED'!I30</f>
        <v>150</v>
      </c>
      <c r="J30" s="25">
        <f>'Admin-Gen'!J30+'Admin-Board'!J30+'Admin-ED'!J30</f>
        <v>150</v>
      </c>
      <c r="K30" s="25">
        <f>'Admin-Gen'!K30+'Admin-Board'!K30+'Admin-ED'!K30</f>
        <v>150</v>
      </c>
      <c r="L30" s="25">
        <f>'Admin-Gen'!L30+'Admin-Board'!L30+'Admin-ED'!L30</f>
        <v>150</v>
      </c>
      <c r="M30" s="25">
        <f>'Admin-Gen'!M30+'Admin-Board'!M30+'Admin-ED'!M30</f>
        <v>150</v>
      </c>
      <c r="N30" s="25">
        <f>'Admin-Gen'!N30+'Admin-Board'!N30+'Admin-ED'!N30</f>
        <v>150</v>
      </c>
      <c r="O30" s="25">
        <f>'Admin-Gen'!O30+'Admin-Board'!O30+'Admin-ED'!O30</f>
        <v>150</v>
      </c>
      <c r="P30">
        <f>SUM(D30:O30)</f>
        <v>1800</v>
      </c>
    </row>
    <row r="31" spans="1:17" x14ac:dyDescent="0.3">
      <c r="A31" s="2" t="s">
        <v>17</v>
      </c>
      <c r="B31" s="2" t="s">
        <v>21</v>
      </c>
      <c r="D31" s="43">
        <f>'Admin-Gen'!D31+'Admin-Board'!D31+'Admin-ED'!D31</f>
        <v>0</v>
      </c>
      <c r="E31" s="43">
        <f>'Admin-Gen'!E31+'Admin-Board'!E31+'Admin-ED'!E31</f>
        <v>0</v>
      </c>
      <c r="F31" s="43">
        <f>'Admin-Gen'!F31+'Admin-Board'!F31+'Admin-ED'!F31</f>
        <v>0</v>
      </c>
      <c r="G31" s="43">
        <f>'Admin-Gen'!G31+'Admin-Board'!G31+'Admin-ED'!G31</f>
        <v>0</v>
      </c>
      <c r="H31" s="43">
        <f>'Admin-Gen'!H31+'Admin-Board'!H31+'Admin-ED'!H31</f>
        <v>0</v>
      </c>
      <c r="I31" s="43">
        <f>'Admin-Gen'!I31+'Admin-Board'!I31+'Admin-ED'!I31</f>
        <v>0</v>
      </c>
      <c r="J31" s="25">
        <f>'Admin-Gen'!J31+'Admin-Board'!J31+'Admin-ED'!J31</f>
        <v>0</v>
      </c>
      <c r="K31" s="25">
        <f>'Admin-Gen'!K31+'Admin-Board'!K31+'Admin-ED'!K31</f>
        <v>0</v>
      </c>
      <c r="L31" s="25">
        <f>'Admin-Gen'!L31+'Admin-Board'!L31+'Admin-ED'!L31</f>
        <v>0</v>
      </c>
      <c r="M31" s="25">
        <f>'Admin-Gen'!M31+'Admin-Board'!M31+'Admin-ED'!M31</f>
        <v>0</v>
      </c>
      <c r="N31" s="25">
        <f>'Admin-Gen'!N31+'Admin-Board'!N31+'Admin-ED'!N31</f>
        <v>0</v>
      </c>
      <c r="O31" s="25">
        <f>'Admin-Gen'!O31+'Admin-Board'!O31+'Admin-ED'!O31</f>
        <v>0</v>
      </c>
      <c r="P31">
        <f>SUM(D31:O31)</f>
        <v>0</v>
      </c>
    </row>
    <row r="32" spans="1:17" x14ac:dyDescent="0.3">
      <c r="A32" s="1"/>
      <c r="B32" s="1"/>
      <c r="D32" s="5">
        <f t="shared" ref="D32:I32" si="7">D12+D18+D26+D28+D29+D30+D31</f>
        <v>325</v>
      </c>
      <c r="E32" s="5">
        <f t="shared" si="7"/>
        <v>325</v>
      </c>
      <c r="F32" s="5">
        <f t="shared" si="7"/>
        <v>325</v>
      </c>
      <c r="G32" s="5">
        <f t="shared" si="7"/>
        <v>325</v>
      </c>
      <c r="H32" s="5">
        <f t="shared" si="7"/>
        <v>325</v>
      </c>
      <c r="I32" s="5">
        <f t="shared" si="7"/>
        <v>325</v>
      </c>
      <c r="J32" s="5">
        <f t="shared" ref="J32:P32" si="8">J12+J18+J26+J28+J29+J30+J31</f>
        <v>325</v>
      </c>
      <c r="K32" s="5">
        <f t="shared" si="8"/>
        <v>325</v>
      </c>
      <c r="L32" s="5">
        <f t="shared" si="8"/>
        <v>325</v>
      </c>
      <c r="M32" s="5">
        <f t="shared" si="8"/>
        <v>325</v>
      </c>
      <c r="N32" s="5">
        <f t="shared" si="8"/>
        <v>325</v>
      </c>
      <c r="O32" s="5">
        <f t="shared" si="8"/>
        <v>325</v>
      </c>
      <c r="P32" s="5">
        <f t="shared" si="8"/>
        <v>3900</v>
      </c>
      <c r="Q32" s="8">
        <f>SUM(P28:P31)*P32</f>
        <v>15210000</v>
      </c>
    </row>
    <row r="33" spans="1:17" x14ac:dyDescent="0.3">
      <c r="A33" s="1"/>
      <c r="B33" s="1"/>
      <c r="D33" s="42"/>
      <c r="E33" s="42"/>
      <c r="F33" s="42"/>
      <c r="G33" s="42"/>
      <c r="H33" s="42"/>
      <c r="I33" s="42"/>
    </row>
    <row r="34" spans="1:17" x14ac:dyDescent="0.3">
      <c r="A34" s="195" t="s">
        <v>22</v>
      </c>
      <c r="B34" s="195"/>
      <c r="D34" s="42"/>
      <c r="E34" s="42"/>
      <c r="F34" s="42"/>
      <c r="G34" s="42"/>
      <c r="H34" s="42"/>
      <c r="I34" s="42"/>
    </row>
    <row r="35" spans="1:17" x14ac:dyDescent="0.3">
      <c r="A35" s="1"/>
      <c r="B35" s="2" t="s">
        <v>23</v>
      </c>
      <c r="D35" s="43">
        <f>'Admin-Gen'!D35+'Admin-Board'!D35+'Admin-ED'!D35</f>
        <v>19054.901519999999</v>
      </c>
      <c r="E35" s="43">
        <f>'Admin-Gen'!E35+'Admin-Board'!E35+'Admin-ED'!E35</f>
        <v>19054.901519999999</v>
      </c>
      <c r="F35" s="43">
        <f>'Admin-Gen'!F35+'Admin-Board'!F35+'Admin-ED'!F35</f>
        <v>28582.352279999999</v>
      </c>
      <c r="G35" s="43">
        <f>'Admin-Gen'!G35+'Admin-Board'!G35+'Admin-ED'!G35</f>
        <v>19054.901519999999</v>
      </c>
      <c r="H35" s="43">
        <f>'Admin-Gen'!H35+'Admin-Board'!H35+'Admin-ED'!H35</f>
        <v>19054.901519999999</v>
      </c>
      <c r="I35" s="43">
        <f>'Admin-Gen'!I35+'Admin-Board'!I35+'Admin-ED'!I35</f>
        <v>19054.901519999999</v>
      </c>
      <c r="J35" s="25">
        <f>'Admin-Gen'!J35+'Admin-Board'!J35+'Admin-ED'!J35</f>
        <v>19054.901519999999</v>
      </c>
      <c r="K35" s="25">
        <f>'Admin-Gen'!K35+'Admin-Board'!K35+'Admin-ED'!K35</f>
        <v>28582.352279999999</v>
      </c>
      <c r="L35" s="25">
        <f>'Admin-Gen'!L35+'Admin-Board'!L35+'Admin-ED'!L35</f>
        <v>19054.901519999999</v>
      </c>
      <c r="M35" s="25">
        <f>'Admin-Gen'!M35+'Admin-Board'!M35+'Admin-ED'!M35</f>
        <v>19054.901519999999</v>
      </c>
      <c r="N35" s="25">
        <f>'Admin-Gen'!N35+'Admin-Board'!N35+'Admin-ED'!N35</f>
        <v>19054.901519999999</v>
      </c>
      <c r="O35" s="25">
        <f>'Admin-Gen'!O35+'Admin-Board'!O35+'Admin-ED'!O35</f>
        <v>19054.901519999999</v>
      </c>
      <c r="P35">
        <f>SUM(D35:O35)</f>
        <v>247713.71976000001</v>
      </c>
    </row>
    <row r="36" spans="1:17" x14ac:dyDescent="0.3">
      <c r="A36" s="1"/>
      <c r="B36" s="2" t="s">
        <v>24</v>
      </c>
      <c r="D36" s="43">
        <f>'Admin-Gen'!D36+'Admin-Board'!D36+'Admin-ED'!D36</f>
        <v>1400.5352617199999</v>
      </c>
      <c r="E36" s="43">
        <f>'Admin-Gen'!E36+'Admin-Board'!E36+'Admin-ED'!E36</f>
        <v>1400.5352617199999</v>
      </c>
      <c r="F36" s="43">
        <f>'Admin-Gen'!F36+'Admin-Board'!F36+'Admin-ED'!F36</f>
        <v>2100.8028925799999</v>
      </c>
      <c r="G36" s="43">
        <f>'Admin-Gen'!G36+'Admin-Board'!G36+'Admin-ED'!G36</f>
        <v>1400.5352617199999</v>
      </c>
      <c r="H36" s="43">
        <f>'Admin-Gen'!H36+'Admin-Board'!H36+'Admin-ED'!H36</f>
        <v>1400.5352617199999</v>
      </c>
      <c r="I36" s="43">
        <f>'Admin-Gen'!I36+'Admin-Board'!I36+'Admin-ED'!I36</f>
        <v>1400.5352617199999</v>
      </c>
      <c r="J36" s="25">
        <f>'Admin-Gen'!J36+'Admin-Board'!J36+'Admin-ED'!J36</f>
        <v>1400.5352617199999</v>
      </c>
      <c r="K36" s="25">
        <f>'Admin-Gen'!K36+'Admin-Board'!K36+'Admin-ED'!K36</f>
        <v>2100.8028925799999</v>
      </c>
      <c r="L36" s="25">
        <f>'Admin-Gen'!L36+'Admin-Board'!L36+'Admin-ED'!L36</f>
        <v>1400.5352617199999</v>
      </c>
      <c r="M36" s="25">
        <f>'Admin-Gen'!M36+'Admin-Board'!M36+'Admin-ED'!M36</f>
        <v>1400.5352617199999</v>
      </c>
      <c r="N36" s="25">
        <f>'Admin-Gen'!N36+'Admin-Board'!N36+'Admin-ED'!N36</f>
        <v>1400.5352617199999</v>
      </c>
      <c r="O36" s="25">
        <f>'Admin-Gen'!O36+'Admin-Board'!O36+'Admin-ED'!O36</f>
        <v>1400.5352617199999</v>
      </c>
      <c r="P36">
        <f t="shared" ref="P36:P42" si="9">SUM(D36:O36)</f>
        <v>18206.958402360004</v>
      </c>
    </row>
    <row r="37" spans="1:17" x14ac:dyDescent="0.3">
      <c r="A37" s="1"/>
      <c r="B37" s="2" t="s">
        <v>25</v>
      </c>
      <c r="D37" s="43">
        <f>'Admin-Gen'!D37+'Admin-Board'!D37+'Admin-ED'!D37</f>
        <v>0</v>
      </c>
      <c r="E37" s="43">
        <f>'Admin-Gen'!E37+'Admin-Board'!E37+'Admin-ED'!E37</f>
        <v>0</v>
      </c>
      <c r="F37" s="43">
        <f>'Admin-Gen'!F37+'Admin-Board'!F37+'Admin-ED'!F37</f>
        <v>0</v>
      </c>
      <c r="G37" s="43">
        <f>'Admin-Gen'!G37+'Admin-Board'!G37+'Admin-ED'!G37</f>
        <v>0</v>
      </c>
      <c r="H37" s="43">
        <f>'Admin-Gen'!H37+'Admin-Board'!H37+'Admin-ED'!H37</f>
        <v>0</v>
      </c>
      <c r="I37" s="43">
        <f>'Admin-Gen'!I37+'Admin-Board'!I37+'Admin-ED'!I37</f>
        <v>0</v>
      </c>
      <c r="J37" s="25">
        <f>'Admin-Gen'!J37+'Admin-Board'!J37+'Admin-ED'!J37</f>
        <v>0</v>
      </c>
      <c r="K37" s="25">
        <f>'Admin-Gen'!K37+'Admin-Board'!K37+'Admin-ED'!K37</f>
        <v>0</v>
      </c>
      <c r="L37" s="25">
        <f>'Admin-Gen'!L37+'Admin-Board'!L37+'Admin-ED'!L37</f>
        <v>0</v>
      </c>
      <c r="M37" s="25">
        <f>'Admin-Gen'!M37+'Admin-Board'!M37+'Admin-ED'!M37</f>
        <v>0</v>
      </c>
      <c r="N37" s="25">
        <f>'Admin-Gen'!N37+'Admin-Board'!N37+'Admin-ED'!N37</f>
        <v>0</v>
      </c>
      <c r="O37" s="25">
        <f>'Admin-Gen'!O37+'Admin-Board'!O37+'Admin-ED'!O37</f>
        <v>0</v>
      </c>
      <c r="P37">
        <f t="shared" si="9"/>
        <v>0</v>
      </c>
    </row>
    <row r="38" spans="1:17" x14ac:dyDescent="0.3">
      <c r="A38" s="1"/>
      <c r="B38" s="2" t="s">
        <v>26</v>
      </c>
      <c r="D38" s="43">
        <f>'Admin-Gen'!D38+'Admin-Board'!D38+'Admin-ED'!D38</f>
        <v>2294.61029593992</v>
      </c>
      <c r="E38" s="43">
        <f>'Admin-Gen'!E38+'Admin-Board'!E38+'Admin-ED'!E38</f>
        <v>2294.61029593992</v>
      </c>
      <c r="F38" s="43">
        <f>'Admin-Gen'!F38+'Admin-Board'!F38+'Admin-ED'!F38</f>
        <v>3441.9154439098797</v>
      </c>
      <c r="G38" s="43">
        <f>'Admin-Gen'!G38+'Admin-Board'!G38+'Admin-ED'!G38</f>
        <v>2294.61029593992</v>
      </c>
      <c r="H38" s="43">
        <f>'Admin-Gen'!H38+'Admin-Board'!H38+'Admin-ED'!H38</f>
        <v>2294.61029593992</v>
      </c>
      <c r="I38" s="43">
        <f>'Admin-Gen'!I38+'Admin-Board'!I38+'Admin-ED'!I38</f>
        <v>2294.61029593992</v>
      </c>
      <c r="J38" s="43">
        <f>'Admin-Gen'!J38+'Admin-Board'!J38+'Admin-ED'!J38</f>
        <v>2294.61029593992</v>
      </c>
      <c r="K38" s="43">
        <f>'Admin-Gen'!K38+'Admin-Board'!K38+'Admin-ED'!K38</f>
        <v>3441.9154439098797</v>
      </c>
      <c r="L38" s="43">
        <f>'Admin-Gen'!L38+'Admin-Board'!L38+'Admin-ED'!L38</f>
        <v>2294.61029593992</v>
      </c>
      <c r="M38" s="43">
        <f>'Admin-Gen'!M38+'Admin-Board'!M38+'Admin-ED'!M38</f>
        <v>2294.61029593992</v>
      </c>
      <c r="N38" s="43">
        <f>'Admin-Gen'!N38+'Admin-Board'!N38+'Admin-ED'!N38</f>
        <v>2294.61029593992</v>
      </c>
      <c r="O38" s="43">
        <f>'Admin-Gen'!O38+'Admin-Board'!O38+'Admin-ED'!O38</f>
        <v>2294.61029593992</v>
      </c>
      <c r="P38">
        <f t="shared" si="9"/>
        <v>29829.933847218963</v>
      </c>
    </row>
    <row r="39" spans="1:17" x14ac:dyDescent="0.3">
      <c r="A39" s="1"/>
      <c r="B39" s="2" t="s">
        <v>27</v>
      </c>
      <c r="D39" s="43">
        <f>'Admin-Gen'!D39+'Admin-Board'!D39+'Admin-ED'!D39</f>
        <v>213.414897024</v>
      </c>
      <c r="E39" s="43">
        <f>'Admin-Gen'!E39+'Admin-Board'!E39+'Admin-ED'!E39</f>
        <v>213.414897024</v>
      </c>
      <c r="F39" s="43">
        <f>'Admin-Gen'!F39+'Admin-Board'!F39+'Admin-ED'!F39</f>
        <v>320.12234553600001</v>
      </c>
      <c r="G39" s="43">
        <f>'Admin-Gen'!G39+'Admin-Board'!G39+'Admin-ED'!G39</f>
        <v>213.414897024</v>
      </c>
      <c r="H39" s="43">
        <f>'Admin-Gen'!H39+'Admin-Board'!H39+'Admin-ED'!H39</f>
        <v>213.414897024</v>
      </c>
      <c r="I39" s="43">
        <f>'Admin-Gen'!I39+'Admin-Board'!I39+'Admin-ED'!I39</f>
        <v>213.414897024</v>
      </c>
      <c r="J39" s="25">
        <f>'Admin-Gen'!J39+'Admin-Board'!J39+'Admin-ED'!J39</f>
        <v>213.414897024</v>
      </c>
      <c r="K39" s="25">
        <f>'Admin-Gen'!K39+'Admin-Board'!K39+'Admin-ED'!K39</f>
        <v>320.12234553600001</v>
      </c>
      <c r="L39" s="25">
        <f>'Admin-Gen'!L39+'Admin-Board'!L39+'Admin-ED'!L39</f>
        <v>213.414897024</v>
      </c>
      <c r="M39" s="25">
        <f>'Admin-Gen'!M39+'Admin-Board'!M39+'Admin-ED'!M39</f>
        <v>213.414897024</v>
      </c>
      <c r="N39" s="25">
        <f>'Admin-Gen'!N39+'Admin-Board'!N39+'Admin-ED'!N39</f>
        <v>213.414897024</v>
      </c>
      <c r="O39" s="25">
        <f>'Admin-Gen'!O39+'Admin-Board'!O39+'Admin-ED'!O39</f>
        <v>213.414897024</v>
      </c>
      <c r="P39">
        <f t="shared" si="9"/>
        <v>2774.3936613119995</v>
      </c>
    </row>
    <row r="40" spans="1:17" x14ac:dyDescent="0.3">
      <c r="A40" s="1"/>
      <c r="B40" s="2" t="s">
        <v>28</v>
      </c>
      <c r="D40" s="43">
        <f>'Admin-Gen'!D40+'Admin-Board'!D40+'Admin-ED'!D40</f>
        <v>533.53724255999998</v>
      </c>
      <c r="E40" s="43">
        <f>'Admin-Gen'!E40+'Admin-Board'!E40+'Admin-ED'!E40</f>
        <v>533.53724255999998</v>
      </c>
      <c r="F40" s="43">
        <f>'Admin-Gen'!F40+'Admin-Board'!F40+'Admin-ED'!F40</f>
        <v>800.30586384000003</v>
      </c>
      <c r="G40" s="43">
        <f>'Admin-Gen'!G40+'Admin-Board'!G40+'Admin-ED'!G40</f>
        <v>533.53724255999998</v>
      </c>
      <c r="H40" s="43">
        <f>'Admin-Gen'!H40+'Admin-Board'!H40+'Admin-ED'!H40</f>
        <v>533.53724255999998</v>
      </c>
      <c r="I40" s="43">
        <f>'Admin-Gen'!I40+'Admin-Board'!I40+'Admin-ED'!I40</f>
        <v>533.53724255999998</v>
      </c>
      <c r="J40" s="25">
        <f>'Admin-Gen'!J40+'Admin-Board'!J40+'Admin-ED'!J40</f>
        <v>533.53724255999998</v>
      </c>
      <c r="K40" s="25">
        <f>'Admin-Gen'!K40+'Admin-Board'!K40+'Admin-ED'!K40</f>
        <v>800.30586384000003</v>
      </c>
      <c r="L40" s="25">
        <f>'Admin-Gen'!L40+'Admin-Board'!L40+'Admin-ED'!L40</f>
        <v>533.53724255999998</v>
      </c>
      <c r="M40" s="25">
        <f>'Admin-Gen'!M40+'Admin-Board'!M40+'Admin-ED'!M40</f>
        <v>533.53724255999998</v>
      </c>
      <c r="N40" s="25">
        <f>'Admin-Gen'!N40+'Admin-Board'!N40+'Admin-ED'!N40</f>
        <v>533.53724255999998</v>
      </c>
      <c r="O40" s="25">
        <f>'Admin-Gen'!O40+'Admin-Board'!O40+'Admin-ED'!O40</f>
        <v>533.53724255999998</v>
      </c>
      <c r="P40">
        <f t="shared" si="9"/>
        <v>6935.9841532799992</v>
      </c>
    </row>
    <row r="41" spans="1:17" x14ac:dyDescent="0.3">
      <c r="A41" s="1"/>
      <c r="B41" s="2" t="s">
        <v>29</v>
      </c>
      <c r="D41" s="43">
        <f>'Admin-Gen'!D41+'Admin-Board'!D41+'Admin-ED'!D41</f>
        <v>261.62379786959997</v>
      </c>
      <c r="E41" s="43">
        <f>'Admin-Gen'!E41+'Admin-Board'!E41+'Admin-ED'!E41</f>
        <v>261.62379786959997</v>
      </c>
      <c r="F41" s="43">
        <f>'Admin-Gen'!F41+'Admin-Board'!F41+'Admin-ED'!F41</f>
        <v>392.43569680439998</v>
      </c>
      <c r="G41" s="43">
        <f>'Admin-Gen'!G41+'Admin-Board'!G41+'Admin-ED'!G41</f>
        <v>261.62379786959997</v>
      </c>
      <c r="H41" s="43">
        <f>'Admin-Gen'!H41+'Admin-Board'!H41+'Admin-ED'!H41</f>
        <v>261.62379786959997</v>
      </c>
      <c r="I41" s="43">
        <f>'Admin-Gen'!I41+'Admin-Board'!I41+'Admin-ED'!I41</f>
        <v>261.62379786959997</v>
      </c>
      <c r="J41" s="25">
        <f>'Admin-Gen'!J41+'Admin-Board'!J41+'Admin-ED'!J41</f>
        <v>261.62379786959997</v>
      </c>
      <c r="K41" s="25">
        <f>'Admin-Gen'!K41+'Admin-Board'!K41+'Admin-ED'!K41</f>
        <v>392.43569680439998</v>
      </c>
      <c r="L41" s="25">
        <f>'Admin-Gen'!L41+'Admin-Board'!L41+'Admin-ED'!L41</f>
        <v>261.62379786959997</v>
      </c>
      <c r="M41" s="25">
        <f>'Admin-Gen'!M41+'Admin-Board'!M41+'Admin-ED'!M41</f>
        <v>261.62379786959997</v>
      </c>
      <c r="N41" s="25">
        <f>'Admin-Gen'!N41+'Admin-Board'!N41+'Admin-ED'!N41</f>
        <v>261.62379786959997</v>
      </c>
      <c r="O41" s="25">
        <f>'Admin-Gen'!O41+'Admin-Board'!O41+'Admin-ED'!O41</f>
        <v>261.62379786959997</v>
      </c>
      <c r="P41">
        <f t="shared" si="9"/>
        <v>3401.1093723047993</v>
      </c>
    </row>
    <row r="42" spans="1:17" x14ac:dyDescent="0.3">
      <c r="A42" s="1"/>
      <c r="B42" s="2" t="s">
        <v>30</v>
      </c>
      <c r="D42" s="43">
        <f>'Admin-Gen'!D42+'Admin-Board'!D42+'Admin-ED'!D42</f>
        <v>0</v>
      </c>
      <c r="E42" s="43">
        <f>'Admin-Gen'!E42+'Admin-Board'!E42+'Admin-ED'!E42</f>
        <v>0</v>
      </c>
      <c r="F42" s="43">
        <f>'Admin-Gen'!F42+'Admin-Board'!F42+'Admin-ED'!F42</f>
        <v>0</v>
      </c>
      <c r="G42" s="43">
        <f>'Admin-Gen'!G42+'Admin-Board'!G42+'Admin-ED'!G42</f>
        <v>0</v>
      </c>
      <c r="H42" s="43">
        <f>'Admin-Gen'!H42+'Admin-Board'!H42+'Admin-ED'!H42</f>
        <v>0</v>
      </c>
      <c r="I42" s="43">
        <f>'Admin-Gen'!I42+'Admin-Board'!I42+'Admin-ED'!I42</f>
        <v>0</v>
      </c>
      <c r="J42" s="25">
        <f>'Admin-Gen'!J42+'Admin-Board'!J42+'Admin-ED'!J42</f>
        <v>0</v>
      </c>
      <c r="K42" s="25">
        <f>'Admin-Gen'!K42+'Admin-Board'!K42+'Admin-ED'!K42</f>
        <v>0</v>
      </c>
      <c r="L42" s="25">
        <f>'Admin-Gen'!L42+'Admin-Board'!L42+'Admin-ED'!L42</f>
        <v>0</v>
      </c>
      <c r="M42" s="25">
        <f>'Admin-Gen'!M42+'Admin-Board'!M42+'Admin-ED'!M42</f>
        <v>0</v>
      </c>
      <c r="N42" s="25">
        <f>'Admin-Gen'!N42+'Admin-Board'!N42+'Admin-ED'!N42</f>
        <v>0</v>
      </c>
      <c r="O42" s="25">
        <f>'Admin-Gen'!O42+'Admin-Board'!O42+'Admin-ED'!O42</f>
        <v>0</v>
      </c>
      <c r="P42">
        <f t="shared" si="9"/>
        <v>0</v>
      </c>
    </row>
    <row r="43" spans="1:17" x14ac:dyDescent="0.3">
      <c r="A43" s="195" t="s">
        <v>31</v>
      </c>
      <c r="B43" s="195"/>
      <c r="D43" s="4">
        <f t="shared" ref="D43:I43" si="10">SUM(D35:D42)</f>
        <v>23758.623015113521</v>
      </c>
      <c r="E43" s="4">
        <f t="shared" si="10"/>
        <v>23758.623015113521</v>
      </c>
      <c r="F43" s="4">
        <f t="shared" si="10"/>
        <v>35637.934522670286</v>
      </c>
      <c r="G43" s="4">
        <f t="shared" si="10"/>
        <v>23758.623015113521</v>
      </c>
      <c r="H43" s="4">
        <f t="shared" si="10"/>
        <v>23758.623015113521</v>
      </c>
      <c r="I43" s="4">
        <f t="shared" si="10"/>
        <v>23758.623015113521</v>
      </c>
      <c r="J43" s="4">
        <f t="shared" ref="J43:P43" si="11">SUM(J35:J42)</f>
        <v>23758.623015113521</v>
      </c>
      <c r="K43" s="4">
        <f t="shared" si="11"/>
        <v>35637.934522670286</v>
      </c>
      <c r="L43" s="4">
        <f t="shared" si="11"/>
        <v>23758.623015113521</v>
      </c>
      <c r="M43" s="4">
        <f t="shared" si="11"/>
        <v>23758.623015113521</v>
      </c>
      <c r="N43" s="4">
        <f t="shared" si="11"/>
        <v>23758.623015113521</v>
      </c>
      <c r="O43" s="4">
        <f t="shared" si="11"/>
        <v>23758.623015113521</v>
      </c>
      <c r="P43" s="4">
        <f t="shared" si="11"/>
        <v>308862.09919647576</v>
      </c>
      <c r="Q43" s="8">
        <f>SUM(P35:P42)</f>
        <v>308862.09919647576</v>
      </c>
    </row>
    <row r="44" spans="1:17" x14ac:dyDescent="0.3">
      <c r="A44" s="195" t="s">
        <v>32</v>
      </c>
      <c r="B44" s="195"/>
      <c r="D44" s="42"/>
      <c r="E44" s="42"/>
      <c r="F44" s="42"/>
      <c r="G44" s="42"/>
      <c r="H44" s="42"/>
      <c r="I44" s="42"/>
    </row>
    <row r="45" spans="1:17" x14ac:dyDescent="0.3">
      <c r="A45" s="1"/>
      <c r="B45" s="2" t="s">
        <v>33</v>
      </c>
      <c r="D45" s="43">
        <f>'Admin-Gen'!D45+'Admin-Board'!D45+'Admin-ED'!D45</f>
        <v>0</v>
      </c>
      <c r="E45" s="43">
        <f>'Admin-Gen'!E45+'Admin-Board'!E45+'Admin-ED'!E45</f>
        <v>0</v>
      </c>
      <c r="F45" s="43">
        <f>'Admin-Gen'!F45+'Admin-Board'!F45+'Admin-ED'!F45</f>
        <v>0</v>
      </c>
      <c r="G45" s="43">
        <f>'Admin-Gen'!G45+'Admin-Board'!G45+'Admin-ED'!G45</f>
        <v>0</v>
      </c>
      <c r="H45" s="43">
        <f>'Admin-Gen'!H45+'Admin-Board'!H45+'Admin-ED'!H45</f>
        <v>0</v>
      </c>
      <c r="I45" s="43">
        <f>'Admin-Gen'!I45+'Admin-Board'!I45+'Admin-ED'!I45</f>
        <v>0</v>
      </c>
      <c r="J45" s="25">
        <f>'Admin-Gen'!J45+'Admin-Board'!J45+'Admin-ED'!J45</f>
        <v>0</v>
      </c>
      <c r="K45" s="25">
        <f>'Admin-Gen'!K45+'Admin-Board'!K45+'Admin-ED'!K45</f>
        <v>0</v>
      </c>
      <c r="L45" s="25">
        <f>'Admin-Gen'!L45+'Admin-Board'!L45+'Admin-ED'!L45</f>
        <v>0</v>
      </c>
      <c r="M45" s="25">
        <f>'Admin-Gen'!M45+'Admin-Board'!M45+'Admin-ED'!M45</f>
        <v>0</v>
      </c>
      <c r="N45" s="25">
        <f>'Admin-Gen'!N45+'Admin-Board'!N45+'Admin-ED'!N45</f>
        <v>0</v>
      </c>
      <c r="O45" s="25">
        <f>'Admin-Gen'!O45+'Admin-Board'!O45+'Admin-ED'!O45</f>
        <v>0</v>
      </c>
      <c r="P45">
        <f t="shared" ref="P45:P52" si="12">SUM(D45:O45)</f>
        <v>0</v>
      </c>
    </row>
    <row r="46" spans="1:17" x14ac:dyDescent="0.3">
      <c r="A46" s="1"/>
      <c r="B46" s="2" t="s">
        <v>34</v>
      </c>
      <c r="D46" s="43">
        <f>'Admin-Gen'!D46+'Admin-Board'!D46+'Admin-ED'!D46</f>
        <v>0</v>
      </c>
      <c r="E46" s="43">
        <f>'Admin-Gen'!E46+'Admin-Board'!E46+'Admin-ED'!E46</f>
        <v>0</v>
      </c>
      <c r="F46" s="43">
        <f>'Admin-Gen'!F46+'Admin-Board'!F46+'Admin-ED'!F46</f>
        <v>0</v>
      </c>
      <c r="G46" s="43">
        <f>'Admin-Gen'!G46+'Admin-Board'!G46+'Admin-ED'!G46</f>
        <v>0</v>
      </c>
      <c r="H46" s="43">
        <f>'Admin-Gen'!H46+'Admin-Board'!H46+'Admin-ED'!H46</f>
        <v>0</v>
      </c>
      <c r="I46" s="43">
        <f>'Admin-Gen'!I46+'Admin-Board'!I46+'Admin-ED'!I46</f>
        <v>0</v>
      </c>
      <c r="J46" s="25">
        <f>'Admin-Gen'!J46+'Admin-Board'!J46+'Admin-ED'!J46</f>
        <v>0</v>
      </c>
      <c r="K46" s="25">
        <f>'Admin-Gen'!K46+'Admin-Board'!K46+'Admin-ED'!K46</f>
        <v>0</v>
      </c>
      <c r="L46" s="25">
        <f>'Admin-Gen'!L46+'Admin-Board'!L46+'Admin-ED'!L46</f>
        <v>0</v>
      </c>
      <c r="M46" s="25">
        <f>'Admin-Gen'!M46+'Admin-Board'!M46+'Admin-ED'!M46</f>
        <v>0</v>
      </c>
      <c r="N46" s="25">
        <f>'Admin-Gen'!N46+'Admin-Board'!N46+'Admin-ED'!N46</f>
        <v>0</v>
      </c>
      <c r="O46" s="25">
        <f>'Admin-Gen'!O46+'Admin-Board'!O46+'Admin-ED'!O46</f>
        <v>0</v>
      </c>
      <c r="P46">
        <f t="shared" si="12"/>
        <v>0</v>
      </c>
    </row>
    <row r="47" spans="1:17" x14ac:dyDescent="0.3">
      <c r="A47" s="1"/>
      <c r="B47" s="2" t="s">
        <v>35</v>
      </c>
      <c r="D47" s="43">
        <f>'Admin-Gen'!D47+'Admin-Board'!D47+'Admin-ED'!D47</f>
        <v>0</v>
      </c>
      <c r="E47" s="43">
        <f>'Admin-Gen'!E47+'Admin-Board'!E47+'Admin-ED'!E47</f>
        <v>0</v>
      </c>
      <c r="F47" s="43">
        <f>'Admin-Gen'!F47+'Admin-Board'!F47+'Admin-ED'!F47</f>
        <v>0</v>
      </c>
      <c r="G47" s="43">
        <f>'Admin-Gen'!G47+'Admin-Board'!G47+'Admin-ED'!G47</f>
        <v>0</v>
      </c>
      <c r="H47" s="43">
        <f>'Admin-Gen'!H47+'Admin-Board'!H47+'Admin-ED'!H47</f>
        <v>0</v>
      </c>
      <c r="I47" s="43">
        <f>'Admin-Gen'!I47+'Admin-Board'!I47+'Admin-ED'!I47</f>
        <v>0</v>
      </c>
      <c r="J47" s="25">
        <f>'Admin-Gen'!J47+'Admin-Board'!J47+'Admin-ED'!J47</f>
        <v>0</v>
      </c>
      <c r="K47" s="25">
        <f>'Admin-Gen'!K47+'Admin-Board'!K47+'Admin-ED'!K47</f>
        <v>0</v>
      </c>
      <c r="L47" s="25">
        <f>'Admin-Gen'!L47+'Admin-Board'!L47+'Admin-ED'!L47</f>
        <v>0</v>
      </c>
      <c r="M47" s="25">
        <f>'Admin-Gen'!M47+'Admin-Board'!M47+'Admin-ED'!M47</f>
        <v>0</v>
      </c>
      <c r="N47" s="25">
        <f>'Admin-Gen'!N47+'Admin-Board'!N47+'Admin-ED'!N47</f>
        <v>0</v>
      </c>
      <c r="O47" s="25">
        <f>'Admin-Gen'!O47+'Admin-Board'!O47+'Admin-ED'!O47</f>
        <v>0</v>
      </c>
      <c r="P47">
        <f t="shared" si="12"/>
        <v>0</v>
      </c>
    </row>
    <row r="48" spans="1:17" x14ac:dyDescent="0.3">
      <c r="A48" s="1"/>
      <c r="B48" s="2" t="s">
        <v>36</v>
      </c>
      <c r="D48" s="43">
        <f>'Admin-Gen'!D48+'Admin-Board'!D48+'Admin-ED'!D48</f>
        <v>0</v>
      </c>
      <c r="E48" s="43">
        <f>'Admin-Gen'!E48+'Admin-Board'!E48+'Admin-ED'!E48</f>
        <v>0</v>
      </c>
      <c r="F48" s="43">
        <f>'Admin-Gen'!F48+'Admin-Board'!F48+'Admin-ED'!F48</f>
        <v>0</v>
      </c>
      <c r="G48" s="43">
        <f>'Admin-Gen'!G48+'Admin-Board'!G48+'Admin-ED'!G48</f>
        <v>0</v>
      </c>
      <c r="H48" s="43">
        <f>'Admin-Gen'!H48+'Admin-Board'!H48+'Admin-ED'!H48</f>
        <v>0</v>
      </c>
      <c r="I48" s="43">
        <f>'Admin-Gen'!I48+'Admin-Board'!I48+'Admin-ED'!I48</f>
        <v>0</v>
      </c>
      <c r="J48" s="25">
        <f>'Admin-Gen'!J48+'Admin-Board'!J48+'Admin-ED'!J48</f>
        <v>0</v>
      </c>
      <c r="K48" s="25">
        <f>'Admin-Gen'!K48+'Admin-Board'!K48+'Admin-ED'!K48</f>
        <v>0</v>
      </c>
      <c r="L48" s="25">
        <f>'Admin-Gen'!L48+'Admin-Board'!L48+'Admin-ED'!L48</f>
        <v>0</v>
      </c>
      <c r="M48" s="25">
        <f>'Admin-Gen'!M48+'Admin-Board'!M48+'Admin-ED'!M48</f>
        <v>0</v>
      </c>
      <c r="N48" s="25">
        <f>'Admin-Gen'!N48+'Admin-Board'!N48+'Admin-ED'!N48</f>
        <v>0</v>
      </c>
      <c r="O48" s="25">
        <f>'Admin-Gen'!O48+'Admin-Board'!O48+'Admin-ED'!O48</f>
        <v>0</v>
      </c>
      <c r="P48">
        <f t="shared" si="12"/>
        <v>0</v>
      </c>
    </row>
    <row r="49" spans="1:17" x14ac:dyDescent="0.3">
      <c r="A49" s="1"/>
      <c r="B49" s="2" t="s">
        <v>37</v>
      </c>
      <c r="D49" s="43">
        <f>'Admin-Gen'!D49+'Admin-Board'!D49+'Admin-ED'!D49</f>
        <v>0</v>
      </c>
      <c r="E49" s="43">
        <f>'Admin-Gen'!E49+'Admin-Board'!E49+'Admin-ED'!E49</f>
        <v>0</v>
      </c>
      <c r="F49" s="43">
        <f>'Admin-Gen'!F49+'Admin-Board'!F49+'Admin-ED'!F49</f>
        <v>0</v>
      </c>
      <c r="G49" s="43">
        <f>'Admin-Gen'!G49+'Admin-Board'!G49+'Admin-ED'!G49</f>
        <v>0</v>
      </c>
      <c r="H49" s="43">
        <f>'Admin-Gen'!H49+'Admin-Board'!H49+'Admin-ED'!H49</f>
        <v>0</v>
      </c>
      <c r="I49" s="43">
        <f>'Admin-Gen'!I49+'Admin-Board'!I49+'Admin-ED'!I49</f>
        <v>0</v>
      </c>
      <c r="J49" s="25">
        <f>'Admin-Gen'!J49+'Admin-Board'!J49+'Admin-ED'!J49</f>
        <v>0</v>
      </c>
      <c r="K49" s="25">
        <f>'Admin-Gen'!K49+'Admin-Board'!K49+'Admin-ED'!K49</f>
        <v>0</v>
      </c>
      <c r="L49" s="25">
        <f>'Admin-Gen'!L49+'Admin-Board'!L49+'Admin-ED'!L49</f>
        <v>0</v>
      </c>
      <c r="M49" s="25">
        <f>'Admin-Gen'!M49+'Admin-Board'!M49+'Admin-ED'!M49</f>
        <v>0</v>
      </c>
      <c r="N49" s="25">
        <f>'Admin-Gen'!N49+'Admin-Board'!N49+'Admin-ED'!N49</f>
        <v>0</v>
      </c>
      <c r="O49" s="25">
        <f>'Admin-Gen'!O49+'Admin-Board'!O49+'Admin-ED'!O49</f>
        <v>0</v>
      </c>
      <c r="P49">
        <f t="shared" si="12"/>
        <v>0</v>
      </c>
    </row>
    <row r="50" spans="1:17" s="42" customFormat="1" x14ac:dyDescent="0.3">
      <c r="A50" s="1"/>
      <c r="B50" s="93" t="s">
        <v>194</v>
      </c>
      <c r="D50" s="43">
        <f>'Admin-Gen'!D50+'Admin-Board'!D50+'Admin-ED'!D50</f>
        <v>0</v>
      </c>
      <c r="E50" s="43">
        <f>'Admin-Gen'!E50+'Admin-Board'!E50+'Admin-ED'!E50</f>
        <v>0</v>
      </c>
      <c r="F50" s="43">
        <f>'Admin-Gen'!F50+'Admin-Board'!F50+'Admin-ED'!F50</f>
        <v>0</v>
      </c>
      <c r="G50" s="43">
        <f>'Admin-Gen'!G50+'Admin-Board'!G50+'Admin-ED'!G50</f>
        <v>0</v>
      </c>
      <c r="H50" s="43">
        <f>'Admin-Gen'!H50+'Admin-Board'!H50+'Admin-ED'!H50</f>
        <v>0</v>
      </c>
      <c r="I50" s="43">
        <f>'Admin-Gen'!I50+'Admin-Board'!I50+'Admin-ED'!I50</f>
        <v>0</v>
      </c>
      <c r="J50" s="43">
        <f>'Admin-Gen'!J50+'Admin-Board'!J50+'Admin-ED'!J50</f>
        <v>0</v>
      </c>
      <c r="K50" s="43">
        <f>'Admin-Gen'!K50+'Admin-Board'!K50+'Admin-ED'!K50</f>
        <v>0</v>
      </c>
      <c r="L50" s="43">
        <f>'Admin-Gen'!L50+'Admin-Board'!L50+'Admin-ED'!L50</f>
        <v>0</v>
      </c>
      <c r="M50" s="43">
        <f>'Admin-Gen'!M50+'Admin-Board'!M50+'Admin-ED'!M50</f>
        <v>0</v>
      </c>
      <c r="N50" s="43">
        <f>'Admin-Gen'!N50+'Admin-Board'!N50+'Admin-ED'!N50</f>
        <v>0</v>
      </c>
      <c r="O50" s="43">
        <f>'Admin-Gen'!O50+'Admin-Board'!O50+'Admin-ED'!O50</f>
        <v>0</v>
      </c>
      <c r="P50" s="42">
        <f t="shared" si="12"/>
        <v>0</v>
      </c>
    </row>
    <row r="51" spans="1:17" x14ac:dyDescent="0.3">
      <c r="A51" s="1"/>
      <c r="B51" s="2" t="s">
        <v>38</v>
      </c>
      <c r="D51" s="43">
        <f>'Admin-Gen'!D51+'Admin-Board'!D51+'Admin-ED'!D51</f>
        <v>0</v>
      </c>
      <c r="E51" s="43">
        <f>'Admin-Gen'!E51+'Admin-Board'!E51+'Admin-ED'!E51</f>
        <v>0</v>
      </c>
      <c r="F51" s="43">
        <f>'Admin-Gen'!F51+'Admin-Board'!F51+'Admin-ED'!F51</f>
        <v>0</v>
      </c>
      <c r="G51" s="43">
        <f>'Admin-Gen'!G51+'Admin-Board'!G51+'Admin-ED'!G51</f>
        <v>0</v>
      </c>
      <c r="H51" s="43">
        <f>'Admin-Gen'!H51+'Admin-Board'!H51+'Admin-ED'!H51</f>
        <v>0</v>
      </c>
      <c r="I51" s="43">
        <f>'Admin-Gen'!I51+'Admin-Board'!I51+'Admin-ED'!I51</f>
        <v>0</v>
      </c>
      <c r="J51" s="25">
        <f>'Admin-Gen'!J51+'Admin-Board'!J51+'Admin-ED'!J51</f>
        <v>0</v>
      </c>
      <c r="K51" s="25">
        <f>'Admin-Gen'!K51+'Admin-Board'!K51+'Admin-ED'!K51</f>
        <v>0</v>
      </c>
      <c r="L51" s="25">
        <f>'Admin-Gen'!L51+'Admin-Board'!L51+'Admin-ED'!L51</f>
        <v>0</v>
      </c>
      <c r="M51" s="25">
        <f>'Admin-Gen'!M51+'Admin-Board'!M51+'Admin-ED'!M51</f>
        <v>0</v>
      </c>
      <c r="N51" s="25">
        <f>'Admin-Gen'!N51+'Admin-Board'!N51+'Admin-ED'!N51</f>
        <v>0</v>
      </c>
      <c r="O51" s="25">
        <f>'Admin-Gen'!O51+'Admin-Board'!O51+'Admin-ED'!O51</f>
        <v>0</v>
      </c>
      <c r="P51">
        <f t="shared" si="12"/>
        <v>0</v>
      </c>
    </row>
    <row r="52" spans="1:17" x14ac:dyDescent="0.3">
      <c r="A52" s="1"/>
      <c r="B52" s="2" t="s">
        <v>39</v>
      </c>
      <c r="D52" s="43">
        <f>'Admin-Gen'!D52+'Admin-Board'!D52+'Admin-ED'!D52</f>
        <v>0</v>
      </c>
      <c r="E52" s="43">
        <f>'Admin-Gen'!E52+'Admin-Board'!E52+'Admin-ED'!E52</f>
        <v>0</v>
      </c>
      <c r="F52" s="43">
        <f>'Admin-Gen'!F52+'Admin-Board'!F52+'Admin-ED'!F52</f>
        <v>0</v>
      </c>
      <c r="G52" s="43">
        <f>'Admin-Gen'!G52+'Admin-Board'!G52+'Admin-ED'!G52</f>
        <v>0</v>
      </c>
      <c r="H52" s="43">
        <f>'Admin-Gen'!H52+'Admin-Board'!H52+'Admin-ED'!H52</f>
        <v>0</v>
      </c>
      <c r="I52" s="43">
        <f>'Admin-Gen'!I52+'Admin-Board'!I52+'Admin-ED'!I52</f>
        <v>0</v>
      </c>
      <c r="J52" s="25">
        <f>'Admin-Gen'!J52+'Admin-Board'!J52+'Admin-ED'!J52</f>
        <v>0</v>
      </c>
      <c r="K52" s="25">
        <f>'Admin-Gen'!K52+'Admin-Board'!K52+'Admin-ED'!K52</f>
        <v>0</v>
      </c>
      <c r="L52" s="25">
        <f>'Admin-Gen'!L52+'Admin-Board'!L52+'Admin-ED'!L52</f>
        <v>0</v>
      </c>
      <c r="M52" s="25">
        <f>'Admin-Gen'!M52+'Admin-Board'!M52+'Admin-ED'!M52</f>
        <v>0</v>
      </c>
      <c r="N52" s="25">
        <f>'Admin-Gen'!N52+'Admin-Board'!N52+'Admin-ED'!N52</f>
        <v>0</v>
      </c>
      <c r="O52" s="25">
        <f>'Admin-Gen'!O52+'Admin-Board'!O52+'Admin-ED'!O52</f>
        <v>0</v>
      </c>
      <c r="P52">
        <f t="shared" si="12"/>
        <v>0</v>
      </c>
    </row>
    <row r="53" spans="1:17" x14ac:dyDescent="0.3">
      <c r="A53" s="195" t="s">
        <v>40</v>
      </c>
      <c r="B53" s="195"/>
      <c r="D53" s="4">
        <f t="shared" ref="D53:I53" si="13">SUM(D45:D52)</f>
        <v>0</v>
      </c>
      <c r="E53" s="4">
        <f t="shared" si="13"/>
        <v>0</v>
      </c>
      <c r="F53" s="4">
        <f t="shared" si="13"/>
        <v>0</v>
      </c>
      <c r="G53" s="4">
        <f t="shared" si="13"/>
        <v>0</v>
      </c>
      <c r="H53" s="4">
        <f t="shared" si="13"/>
        <v>0</v>
      </c>
      <c r="I53" s="4">
        <f t="shared" si="13"/>
        <v>0</v>
      </c>
      <c r="J53" s="4">
        <f t="shared" ref="J53:P53" si="14">SUM(J45:J52)</f>
        <v>0</v>
      </c>
      <c r="K53" s="4">
        <f t="shared" si="14"/>
        <v>0</v>
      </c>
      <c r="L53" s="4">
        <f t="shared" si="14"/>
        <v>0</v>
      </c>
      <c r="M53" s="4">
        <f t="shared" si="14"/>
        <v>0</v>
      </c>
      <c r="N53" s="4">
        <f t="shared" si="14"/>
        <v>0</v>
      </c>
      <c r="O53" s="4">
        <f t="shared" si="14"/>
        <v>0</v>
      </c>
      <c r="P53" s="4">
        <f t="shared" si="14"/>
        <v>0</v>
      </c>
      <c r="Q53" s="8">
        <f>SUM(P52)-P53</f>
        <v>0</v>
      </c>
    </row>
    <row r="54" spans="1:17" x14ac:dyDescent="0.3">
      <c r="A54" s="195" t="s">
        <v>41</v>
      </c>
      <c r="B54" s="195"/>
      <c r="D54" s="42"/>
      <c r="E54" s="42"/>
      <c r="F54" s="42"/>
      <c r="G54" s="42"/>
      <c r="H54" s="42"/>
      <c r="I54" s="42"/>
    </row>
    <row r="55" spans="1:17" x14ac:dyDescent="0.3">
      <c r="A55" s="1"/>
      <c r="B55" s="2" t="s">
        <v>42</v>
      </c>
      <c r="D55" s="43">
        <f>'Admin-Gen'!D55+'Admin-Board'!D55+'Admin-ED'!D55</f>
        <v>0</v>
      </c>
      <c r="E55" s="43">
        <f>'Admin-Gen'!E55+'Admin-Board'!E55+'Admin-ED'!E55</f>
        <v>0</v>
      </c>
      <c r="F55" s="43">
        <f>'Admin-Gen'!F55+'Admin-Board'!F55+'Admin-ED'!F55</f>
        <v>0</v>
      </c>
      <c r="G55" s="43">
        <f>'Admin-Gen'!G55+'Admin-Board'!G55+'Admin-ED'!G55</f>
        <v>0</v>
      </c>
      <c r="H55" s="43">
        <f>'Admin-Gen'!H55+'Admin-Board'!H55+'Admin-ED'!H55</f>
        <v>0</v>
      </c>
      <c r="I55" s="43">
        <f>'Admin-Gen'!I55+'Admin-Board'!I55+'Admin-ED'!I55</f>
        <v>0</v>
      </c>
      <c r="J55" s="25">
        <f>'Admin-Gen'!J55+'Admin-Board'!J55+'Admin-ED'!J55</f>
        <v>0</v>
      </c>
      <c r="K55" s="25">
        <f>'Admin-Gen'!K55+'Admin-Board'!K55+'Admin-ED'!K55</f>
        <v>0</v>
      </c>
      <c r="L55" s="25">
        <f>'Admin-Gen'!L55+'Admin-Board'!L55+'Admin-ED'!L55</f>
        <v>0</v>
      </c>
      <c r="M55" s="25">
        <f>'Admin-Gen'!M55+'Admin-Board'!M55+'Admin-ED'!M55</f>
        <v>0</v>
      </c>
      <c r="N55" s="25">
        <f>'Admin-Gen'!N55+'Admin-Board'!N55+'Admin-ED'!N55</f>
        <v>0</v>
      </c>
      <c r="O55" s="25">
        <f>'Admin-Gen'!O55+'Admin-Board'!O55+'Admin-ED'!O55</f>
        <v>0</v>
      </c>
      <c r="P55">
        <f t="shared" ref="P55:P83" si="15">SUM(D55:O55)</f>
        <v>0</v>
      </c>
    </row>
    <row r="56" spans="1:17" x14ac:dyDescent="0.3">
      <c r="A56" s="1"/>
      <c r="B56" s="2" t="s">
        <v>43</v>
      </c>
      <c r="D56" s="43">
        <f>'Admin-Gen'!D56+'Admin-Board'!D56+'Admin-ED'!D56</f>
        <v>285.83333333333331</v>
      </c>
      <c r="E56" s="43">
        <f>'Admin-Gen'!E56+'Admin-Board'!E56+'Admin-ED'!E56</f>
        <v>285.83333333333331</v>
      </c>
      <c r="F56" s="43">
        <f>'Admin-Gen'!F56+'Admin-Board'!F56+'Admin-ED'!F56</f>
        <v>285.83333333333331</v>
      </c>
      <c r="G56" s="43">
        <f>'Admin-Gen'!G56+'Admin-Board'!G56+'Admin-ED'!G56</f>
        <v>285.83333333333331</v>
      </c>
      <c r="H56" s="43">
        <f>'Admin-Gen'!H56+'Admin-Board'!H56+'Admin-ED'!H56</f>
        <v>285.83333333333331</v>
      </c>
      <c r="I56" s="43">
        <f>'Admin-Gen'!I56+'Admin-Board'!I56+'Admin-ED'!I56</f>
        <v>285.83333333333331</v>
      </c>
      <c r="J56" s="25">
        <f>'Admin-Gen'!J56+'Admin-Board'!J56+'Admin-ED'!J56</f>
        <v>285.83333333333331</v>
      </c>
      <c r="K56" s="25">
        <f>'Admin-Gen'!K56+'Admin-Board'!K56+'Admin-ED'!K56</f>
        <v>285.83333333333331</v>
      </c>
      <c r="L56" s="25">
        <f>'Admin-Gen'!L56+'Admin-Board'!L56+'Admin-ED'!L56</f>
        <v>285.83333333333331</v>
      </c>
      <c r="M56" s="25">
        <f>'Admin-Gen'!M56+'Admin-Board'!M56+'Admin-ED'!M56</f>
        <v>285.83333333333331</v>
      </c>
      <c r="N56" s="25">
        <f>'Admin-Gen'!N56+'Admin-Board'!N56+'Admin-ED'!N56</f>
        <v>285.83333333333331</v>
      </c>
      <c r="O56" s="25">
        <f>'Admin-Gen'!O56+'Admin-Board'!O56+'Admin-ED'!O56</f>
        <v>285.83333333333331</v>
      </c>
      <c r="P56">
        <f t="shared" si="15"/>
        <v>3430.0000000000005</v>
      </c>
    </row>
    <row r="57" spans="1:17" x14ac:dyDescent="0.3">
      <c r="A57" s="1"/>
      <c r="B57" s="2" t="s">
        <v>44</v>
      </c>
      <c r="D57" s="43">
        <f>'Admin-Gen'!D57+'Admin-Board'!D57+'Admin-ED'!D57</f>
        <v>600</v>
      </c>
      <c r="E57" s="43">
        <f>'Admin-Gen'!E57+'Admin-Board'!E57+'Admin-ED'!E57</f>
        <v>600</v>
      </c>
      <c r="F57" s="43">
        <f>'Admin-Gen'!F57+'Admin-Board'!F57+'Admin-ED'!F57</f>
        <v>600</v>
      </c>
      <c r="G57" s="43">
        <f>'Admin-Gen'!G57+'Admin-Board'!G57+'Admin-ED'!G57</f>
        <v>600</v>
      </c>
      <c r="H57" s="43">
        <f>'Admin-Gen'!H57+'Admin-Board'!H57+'Admin-ED'!H57</f>
        <v>600</v>
      </c>
      <c r="I57" s="43">
        <f>'Admin-Gen'!I57+'Admin-Board'!I57+'Admin-ED'!I57</f>
        <v>600</v>
      </c>
      <c r="J57" s="25">
        <f>'Admin-Gen'!J57+'Admin-Board'!J57+'Admin-ED'!J57</f>
        <v>600</v>
      </c>
      <c r="K57" s="25">
        <f>'Admin-Gen'!K57+'Admin-Board'!K57+'Admin-ED'!K57</f>
        <v>600</v>
      </c>
      <c r="L57" s="25">
        <f>'Admin-Gen'!L57+'Admin-Board'!L57+'Admin-ED'!L57</f>
        <v>600</v>
      </c>
      <c r="M57" s="25">
        <f>'Admin-Gen'!M57+'Admin-Board'!M57+'Admin-ED'!M57</f>
        <v>600</v>
      </c>
      <c r="N57" s="25">
        <f>'Admin-Gen'!N57+'Admin-Board'!N57+'Admin-ED'!N57</f>
        <v>600</v>
      </c>
      <c r="O57" s="25">
        <f>'Admin-Gen'!O57+'Admin-Board'!O57+'Admin-ED'!O57</f>
        <v>600</v>
      </c>
      <c r="P57">
        <f t="shared" si="15"/>
        <v>7200</v>
      </c>
    </row>
    <row r="58" spans="1:17" x14ac:dyDescent="0.3">
      <c r="A58" s="1"/>
      <c r="B58" s="2" t="s">
        <v>45</v>
      </c>
      <c r="D58" s="43">
        <f>'Admin-Gen'!D58+'Admin-Board'!D58+'Admin-ED'!D58</f>
        <v>100</v>
      </c>
      <c r="E58" s="43">
        <f>'Admin-Gen'!E58+'Admin-Board'!E58+'Admin-ED'!E58</f>
        <v>100</v>
      </c>
      <c r="F58" s="43">
        <f>'Admin-Gen'!F58+'Admin-Board'!F58+'Admin-ED'!F58</f>
        <v>100</v>
      </c>
      <c r="G58" s="43">
        <f>'Admin-Gen'!G58+'Admin-Board'!G58+'Admin-ED'!G58</f>
        <v>100</v>
      </c>
      <c r="H58" s="43">
        <f>'Admin-Gen'!H58+'Admin-Board'!H58+'Admin-ED'!H58</f>
        <v>100</v>
      </c>
      <c r="I58" s="43">
        <f>'Admin-Gen'!I58+'Admin-Board'!I58+'Admin-ED'!I58</f>
        <v>100</v>
      </c>
      <c r="J58" s="25">
        <f>'Admin-Gen'!J58+'Admin-Board'!J58+'Admin-ED'!J58</f>
        <v>100</v>
      </c>
      <c r="K58" s="25">
        <f>'Admin-Gen'!K58+'Admin-Board'!K58+'Admin-ED'!K58</f>
        <v>100</v>
      </c>
      <c r="L58" s="25">
        <f>'Admin-Gen'!L58+'Admin-Board'!L58+'Admin-ED'!L58</f>
        <v>100</v>
      </c>
      <c r="M58" s="25">
        <f>'Admin-Gen'!M58+'Admin-Board'!M58+'Admin-ED'!M58</f>
        <v>100</v>
      </c>
      <c r="N58" s="25">
        <f>'Admin-Gen'!N58+'Admin-Board'!N58+'Admin-ED'!N58</f>
        <v>100</v>
      </c>
      <c r="O58" s="25">
        <f>'Admin-Gen'!O58+'Admin-Board'!O58+'Admin-ED'!O58</f>
        <v>100</v>
      </c>
      <c r="P58">
        <f t="shared" si="15"/>
        <v>1200</v>
      </c>
    </row>
    <row r="59" spans="1:17" x14ac:dyDescent="0.3">
      <c r="A59" s="1"/>
      <c r="B59" s="2" t="s">
        <v>46</v>
      </c>
      <c r="D59" s="43">
        <f>'Admin-Gen'!D59+'Admin-Board'!D59+'Admin-ED'!D59</f>
        <v>125</v>
      </c>
      <c r="E59" s="43">
        <f>'Admin-Gen'!E59+'Admin-Board'!E59+'Admin-ED'!E59</f>
        <v>125</v>
      </c>
      <c r="F59" s="43">
        <f>'Admin-Gen'!F59+'Admin-Board'!F59+'Admin-ED'!F59</f>
        <v>125</v>
      </c>
      <c r="G59" s="43">
        <f>'Admin-Gen'!G59+'Admin-Board'!G59+'Admin-ED'!G59</f>
        <v>125</v>
      </c>
      <c r="H59" s="43">
        <f>'Admin-Gen'!H59+'Admin-Board'!H59+'Admin-ED'!H59</f>
        <v>125</v>
      </c>
      <c r="I59" s="43">
        <f>'Admin-Gen'!I59+'Admin-Board'!I59+'Admin-ED'!I59</f>
        <v>125</v>
      </c>
      <c r="J59" s="25">
        <f>'Admin-Gen'!J59+'Admin-Board'!J59+'Admin-ED'!J59</f>
        <v>125</v>
      </c>
      <c r="K59" s="25">
        <f>'Admin-Gen'!K59+'Admin-Board'!K59+'Admin-ED'!K59</f>
        <v>125</v>
      </c>
      <c r="L59" s="25">
        <f>'Admin-Gen'!L59+'Admin-Board'!L59+'Admin-ED'!L59</f>
        <v>125</v>
      </c>
      <c r="M59" s="25">
        <f>'Admin-Gen'!M59+'Admin-Board'!M59+'Admin-ED'!M59</f>
        <v>125</v>
      </c>
      <c r="N59" s="25">
        <f>'Admin-Gen'!N59+'Admin-Board'!N59+'Admin-ED'!N59</f>
        <v>125</v>
      </c>
      <c r="O59" s="25">
        <f>'Admin-Gen'!O59+'Admin-Board'!O59+'Admin-ED'!O59</f>
        <v>125</v>
      </c>
      <c r="P59">
        <f t="shared" si="15"/>
        <v>1500</v>
      </c>
    </row>
    <row r="60" spans="1:17" x14ac:dyDescent="0.3">
      <c r="A60" s="1"/>
      <c r="B60" s="2" t="s">
        <v>47</v>
      </c>
      <c r="D60" s="43">
        <f>'Admin-Gen'!D60+'Admin-Board'!D60+'Admin-ED'!D60</f>
        <v>0</v>
      </c>
      <c r="E60" s="43">
        <f>'Admin-Gen'!E60+'Admin-Board'!E60+'Admin-ED'!E60</f>
        <v>0</v>
      </c>
      <c r="F60" s="43">
        <f>'Admin-Gen'!F60+'Admin-Board'!F60+'Admin-ED'!F60</f>
        <v>0</v>
      </c>
      <c r="G60" s="43">
        <f>'Admin-Gen'!G60+'Admin-Board'!G60+'Admin-ED'!G60</f>
        <v>0</v>
      </c>
      <c r="H60" s="43">
        <f>'Admin-Gen'!H60+'Admin-Board'!H60+'Admin-ED'!H60</f>
        <v>0</v>
      </c>
      <c r="I60" s="43">
        <f>'Admin-Gen'!I60+'Admin-Board'!I60+'Admin-ED'!I60</f>
        <v>0</v>
      </c>
      <c r="J60" s="25">
        <f>'Admin-Gen'!J60+'Admin-Board'!J60+'Admin-ED'!J60</f>
        <v>0</v>
      </c>
      <c r="K60" s="25">
        <f>'Admin-Gen'!K60+'Admin-Board'!K60+'Admin-ED'!K60</f>
        <v>0</v>
      </c>
      <c r="L60" s="25">
        <f>'Admin-Gen'!L60+'Admin-Board'!L60+'Admin-ED'!L60</f>
        <v>0</v>
      </c>
      <c r="M60" s="25">
        <f>'Admin-Gen'!M60+'Admin-Board'!M60+'Admin-ED'!M60</f>
        <v>0</v>
      </c>
      <c r="N60" s="25">
        <f>'Admin-Gen'!N60+'Admin-Board'!N60+'Admin-ED'!N60</f>
        <v>0</v>
      </c>
      <c r="O60" s="25">
        <f>'Admin-Gen'!O60+'Admin-Board'!O60+'Admin-ED'!O60</f>
        <v>0</v>
      </c>
      <c r="P60">
        <f t="shared" si="15"/>
        <v>0</v>
      </c>
    </row>
    <row r="61" spans="1:17" x14ac:dyDescent="0.3">
      <c r="A61" s="1"/>
      <c r="B61" s="2" t="s">
        <v>48</v>
      </c>
      <c r="D61" s="43">
        <f>'Admin-Gen'!D61+'Admin-Board'!D61+'Admin-ED'!D61</f>
        <v>0</v>
      </c>
      <c r="E61" s="43">
        <f>'Admin-Gen'!E61+'Admin-Board'!E61+'Admin-ED'!E61</f>
        <v>0</v>
      </c>
      <c r="F61" s="43">
        <f>'Admin-Gen'!F61+'Admin-Board'!F61+'Admin-ED'!F61</f>
        <v>0</v>
      </c>
      <c r="G61" s="43">
        <f>'Admin-Gen'!G61+'Admin-Board'!G61+'Admin-ED'!G61</f>
        <v>0</v>
      </c>
      <c r="H61" s="43">
        <f>'Admin-Gen'!H61+'Admin-Board'!H61+'Admin-ED'!H61</f>
        <v>0</v>
      </c>
      <c r="I61" s="43">
        <f>'Admin-Gen'!I61+'Admin-Board'!I61+'Admin-ED'!I61</f>
        <v>0</v>
      </c>
      <c r="J61" s="25">
        <f>'Admin-Gen'!J61+'Admin-Board'!J61+'Admin-ED'!J61</f>
        <v>0</v>
      </c>
      <c r="K61" s="25">
        <f>'Admin-Gen'!K61+'Admin-Board'!K61+'Admin-ED'!K61</f>
        <v>0</v>
      </c>
      <c r="L61" s="25">
        <f>'Admin-Gen'!L61+'Admin-Board'!L61+'Admin-ED'!L61</f>
        <v>0</v>
      </c>
      <c r="M61" s="25">
        <f>'Admin-Gen'!M61+'Admin-Board'!M61+'Admin-ED'!M61</f>
        <v>0</v>
      </c>
      <c r="N61" s="25">
        <f>'Admin-Gen'!N61+'Admin-Board'!N61+'Admin-ED'!N61</f>
        <v>0</v>
      </c>
      <c r="O61" s="25">
        <f>'Admin-Gen'!O61+'Admin-Board'!O61+'Admin-ED'!O61</f>
        <v>0</v>
      </c>
      <c r="P61">
        <f t="shared" si="15"/>
        <v>0</v>
      </c>
    </row>
    <row r="62" spans="1:17" x14ac:dyDescent="0.3">
      <c r="A62" s="1"/>
      <c r="B62" s="2" t="s">
        <v>49</v>
      </c>
      <c r="D62" s="43">
        <f>'Admin-Gen'!D62+'Admin-Board'!D62+'Admin-ED'!D62</f>
        <v>0</v>
      </c>
      <c r="E62" s="43">
        <f>'Admin-Gen'!E62+'Admin-Board'!E62+'Admin-ED'!E62</f>
        <v>0</v>
      </c>
      <c r="F62" s="43">
        <f>'Admin-Gen'!F62+'Admin-Board'!F62+'Admin-ED'!F62</f>
        <v>0</v>
      </c>
      <c r="G62" s="43">
        <f>'Admin-Gen'!G62+'Admin-Board'!G62+'Admin-ED'!G62</f>
        <v>0</v>
      </c>
      <c r="H62" s="43">
        <f>'Admin-Gen'!H62+'Admin-Board'!H62+'Admin-ED'!H62</f>
        <v>0</v>
      </c>
      <c r="I62" s="43">
        <f>'Admin-Gen'!I62+'Admin-Board'!I62+'Admin-ED'!I62</f>
        <v>0</v>
      </c>
      <c r="J62" s="25">
        <f>'Admin-Gen'!J62+'Admin-Board'!J62+'Admin-ED'!J62</f>
        <v>0</v>
      </c>
      <c r="K62" s="25">
        <f>'Admin-Gen'!K62+'Admin-Board'!K62+'Admin-ED'!K62</f>
        <v>0</v>
      </c>
      <c r="L62" s="25">
        <f>'Admin-Gen'!L62+'Admin-Board'!L62+'Admin-ED'!L62</f>
        <v>0</v>
      </c>
      <c r="M62" s="25">
        <f>'Admin-Gen'!M62+'Admin-Board'!M62+'Admin-ED'!M62</f>
        <v>0</v>
      </c>
      <c r="N62" s="25">
        <f>'Admin-Gen'!N62+'Admin-Board'!N62+'Admin-ED'!N62</f>
        <v>0</v>
      </c>
      <c r="O62" s="25">
        <f>'Admin-Gen'!O62+'Admin-Board'!O62+'Admin-ED'!O62</f>
        <v>0</v>
      </c>
      <c r="P62">
        <f t="shared" si="15"/>
        <v>0</v>
      </c>
    </row>
    <row r="63" spans="1:17" x14ac:dyDescent="0.3">
      <c r="A63" s="1"/>
      <c r="B63" s="2" t="s">
        <v>50</v>
      </c>
      <c r="D63" s="43">
        <f>'Admin-Gen'!D63+'Admin-Board'!D63+'Admin-ED'!D63</f>
        <v>0</v>
      </c>
      <c r="E63" s="43">
        <f>'Admin-Gen'!E63+'Admin-Board'!E63+'Admin-ED'!E63</f>
        <v>0</v>
      </c>
      <c r="F63" s="43">
        <f>'Admin-Gen'!F63+'Admin-Board'!F63+'Admin-ED'!F63</f>
        <v>0</v>
      </c>
      <c r="G63" s="43">
        <f>'Admin-Gen'!G63+'Admin-Board'!G63+'Admin-ED'!G63</f>
        <v>0</v>
      </c>
      <c r="H63" s="43">
        <f>'Admin-Gen'!H63+'Admin-Board'!H63+'Admin-ED'!H63</f>
        <v>0</v>
      </c>
      <c r="I63" s="43">
        <f>'Admin-Gen'!I63+'Admin-Board'!I63+'Admin-ED'!I63</f>
        <v>0</v>
      </c>
      <c r="J63" s="25">
        <f>'Admin-Gen'!J63+'Admin-Board'!J63+'Admin-ED'!J63</f>
        <v>0</v>
      </c>
      <c r="K63" s="25">
        <f>'Admin-Gen'!K63+'Admin-Board'!K63+'Admin-ED'!K63</f>
        <v>0</v>
      </c>
      <c r="L63" s="25">
        <f>'Admin-Gen'!L63+'Admin-Board'!L63+'Admin-ED'!L63</f>
        <v>0</v>
      </c>
      <c r="M63" s="25">
        <f>'Admin-Gen'!M63+'Admin-Board'!M63+'Admin-ED'!M63</f>
        <v>0</v>
      </c>
      <c r="N63" s="25">
        <f>'Admin-Gen'!N63+'Admin-Board'!N63+'Admin-ED'!N63</f>
        <v>0</v>
      </c>
      <c r="O63" s="25">
        <f>'Admin-Gen'!O63+'Admin-Board'!O63+'Admin-ED'!O63</f>
        <v>0</v>
      </c>
      <c r="P63">
        <f t="shared" si="15"/>
        <v>0</v>
      </c>
    </row>
    <row r="64" spans="1:17" x14ac:dyDescent="0.3">
      <c r="A64" s="1"/>
      <c r="B64" s="2" t="s">
        <v>51</v>
      </c>
      <c r="D64" s="43">
        <f>'Admin-Gen'!D64+'Admin-Board'!D64+'Admin-ED'!D64</f>
        <v>0</v>
      </c>
      <c r="E64" s="43">
        <f>'Admin-Gen'!E64+'Admin-Board'!E64+'Admin-ED'!E64</f>
        <v>0</v>
      </c>
      <c r="F64" s="43">
        <f>'Admin-Gen'!F64+'Admin-Board'!F64+'Admin-ED'!F64</f>
        <v>0</v>
      </c>
      <c r="G64" s="43">
        <f>'Admin-Gen'!G64+'Admin-Board'!G64+'Admin-ED'!G64</f>
        <v>0</v>
      </c>
      <c r="H64" s="43">
        <f>'Admin-Gen'!H64+'Admin-Board'!H64+'Admin-ED'!H64</f>
        <v>0</v>
      </c>
      <c r="I64" s="43">
        <f>'Admin-Gen'!I64+'Admin-Board'!I64+'Admin-ED'!I64</f>
        <v>0</v>
      </c>
      <c r="J64" s="25">
        <f>'Admin-Gen'!J64+'Admin-Board'!J64+'Admin-ED'!J64</f>
        <v>0</v>
      </c>
      <c r="K64" s="25">
        <f>'Admin-Gen'!K64+'Admin-Board'!K64+'Admin-ED'!K64</f>
        <v>0</v>
      </c>
      <c r="L64" s="25">
        <f>'Admin-Gen'!L64+'Admin-Board'!L64+'Admin-ED'!L64</f>
        <v>0</v>
      </c>
      <c r="M64" s="25">
        <f>'Admin-Gen'!M64+'Admin-Board'!M64+'Admin-ED'!M64</f>
        <v>0</v>
      </c>
      <c r="N64" s="25">
        <f>'Admin-Gen'!N64+'Admin-Board'!N64+'Admin-ED'!N64</f>
        <v>0</v>
      </c>
      <c r="O64" s="25">
        <f>'Admin-Gen'!O64+'Admin-Board'!O64+'Admin-ED'!O64</f>
        <v>0</v>
      </c>
      <c r="P64">
        <f t="shared" si="15"/>
        <v>0</v>
      </c>
    </row>
    <row r="65" spans="1:16" x14ac:dyDescent="0.3">
      <c r="A65" s="1"/>
      <c r="B65" s="2" t="s">
        <v>52</v>
      </c>
      <c r="D65" s="43">
        <f>'Admin-Gen'!D65+'Admin-Board'!D65+'Admin-ED'!D65</f>
        <v>0</v>
      </c>
      <c r="E65" s="43">
        <f>'Admin-Gen'!E65+'Admin-Board'!E65+'Admin-ED'!E65</f>
        <v>0</v>
      </c>
      <c r="F65" s="43">
        <f>'Admin-Gen'!F65+'Admin-Board'!F65+'Admin-ED'!F65</f>
        <v>0</v>
      </c>
      <c r="G65" s="43">
        <f>'Admin-Gen'!G65+'Admin-Board'!G65+'Admin-ED'!G65</f>
        <v>0</v>
      </c>
      <c r="H65" s="43">
        <f>'Admin-Gen'!H65+'Admin-Board'!H65+'Admin-ED'!H65</f>
        <v>0</v>
      </c>
      <c r="I65" s="43">
        <f>'Admin-Gen'!I65+'Admin-Board'!I65+'Admin-ED'!I65</f>
        <v>0</v>
      </c>
      <c r="J65" s="25">
        <f>'Admin-Gen'!J65+'Admin-Board'!J65+'Admin-ED'!J65</f>
        <v>0</v>
      </c>
      <c r="K65" s="25">
        <f>'Admin-Gen'!K65+'Admin-Board'!K65+'Admin-ED'!K65</f>
        <v>0</v>
      </c>
      <c r="L65" s="25">
        <f>'Admin-Gen'!L65+'Admin-Board'!L65+'Admin-ED'!L65</f>
        <v>0</v>
      </c>
      <c r="M65" s="25">
        <f>'Admin-Gen'!M65+'Admin-Board'!M65+'Admin-ED'!M65</f>
        <v>0</v>
      </c>
      <c r="N65" s="25">
        <f>'Admin-Gen'!N65+'Admin-Board'!N65+'Admin-ED'!N65</f>
        <v>0</v>
      </c>
      <c r="O65" s="25">
        <f>'Admin-Gen'!O65+'Admin-Board'!O65+'Admin-ED'!O65</f>
        <v>0</v>
      </c>
      <c r="P65">
        <f t="shared" si="15"/>
        <v>0</v>
      </c>
    </row>
    <row r="66" spans="1:16" x14ac:dyDescent="0.3">
      <c r="A66" s="1"/>
      <c r="B66" s="2" t="s">
        <v>53</v>
      </c>
      <c r="D66" s="43">
        <f>'Admin-Gen'!D66+'Admin-Board'!D66+'Admin-ED'!D66</f>
        <v>100</v>
      </c>
      <c r="E66" s="43">
        <f>'Admin-Gen'!E66+'Admin-Board'!E66+'Admin-ED'!E66</f>
        <v>100</v>
      </c>
      <c r="F66" s="43">
        <f>'Admin-Gen'!F66+'Admin-Board'!F66+'Admin-ED'!F66</f>
        <v>100</v>
      </c>
      <c r="G66" s="43">
        <f>'Admin-Gen'!G66+'Admin-Board'!G66+'Admin-ED'!G66</f>
        <v>100</v>
      </c>
      <c r="H66" s="43">
        <f>'Admin-Gen'!H66+'Admin-Board'!H66+'Admin-ED'!H66</f>
        <v>100</v>
      </c>
      <c r="I66" s="43">
        <f>'Admin-Gen'!I66+'Admin-Board'!I66+'Admin-ED'!I66</f>
        <v>100</v>
      </c>
      <c r="J66" s="25">
        <f>'Admin-Gen'!J66+'Admin-Board'!J66+'Admin-ED'!J66</f>
        <v>100</v>
      </c>
      <c r="K66" s="25">
        <f>'Admin-Gen'!K66+'Admin-Board'!K66+'Admin-ED'!K66</f>
        <v>100</v>
      </c>
      <c r="L66" s="25">
        <f>'Admin-Gen'!L66+'Admin-Board'!L66+'Admin-ED'!L66</f>
        <v>100</v>
      </c>
      <c r="M66" s="25">
        <f>'Admin-Gen'!M66+'Admin-Board'!M66+'Admin-ED'!M66</f>
        <v>100</v>
      </c>
      <c r="N66" s="25">
        <f>'Admin-Gen'!N66+'Admin-Board'!N66+'Admin-ED'!N66</f>
        <v>100</v>
      </c>
      <c r="O66" s="25">
        <f>'Admin-Gen'!O66+'Admin-Board'!O66+'Admin-ED'!O66</f>
        <v>100</v>
      </c>
      <c r="P66">
        <f t="shared" si="15"/>
        <v>1200</v>
      </c>
    </row>
    <row r="67" spans="1:16" x14ac:dyDescent="0.3">
      <c r="A67" s="1"/>
      <c r="B67" s="2" t="s">
        <v>54</v>
      </c>
      <c r="D67" s="43">
        <f>'Admin-Gen'!D67+'Admin-Board'!D67+'Admin-ED'!D67</f>
        <v>433.33333333333331</v>
      </c>
      <c r="E67" s="43">
        <f>'Admin-Gen'!E67+'Admin-Board'!E67+'Admin-ED'!E67</f>
        <v>433.33333333333331</v>
      </c>
      <c r="F67" s="43">
        <f>'Admin-Gen'!F67+'Admin-Board'!F67+'Admin-ED'!F67</f>
        <v>433.33333333333331</v>
      </c>
      <c r="G67" s="43">
        <f>'Admin-Gen'!G67+'Admin-Board'!G67+'Admin-ED'!G67</f>
        <v>433.33333333333331</v>
      </c>
      <c r="H67" s="43">
        <f>'Admin-Gen'!H67+'Admin-Board'!H67+'Admin-ED'!H67</f>
        <v>433.33333333333331</v>
      </c>
      <c r="I67" s="43">
        <f>'Admin-Gen'!I67+'Admin-Board'!I67+'Admin-ED'!I67</f>
        <v>433.33333333333331</v>
      </c>
      <c r="J67" s="25">
        <f>'Admin-Gen'!J67+'Admin-Board'!J67+'Admin-ED'!J67</f>
        <v>433.33333333333331</v>
      </c>
      <c r="K67" s="25">
        <f>'Admin-Gen'!K67+'Admin-Board'!K67+'Admin-ED'!K67</f>
        <v>433.33333333333331</v>
      </c>
      <c r="L67" s="25">
        <f>'Admin-Gen'!L67+'Admin-Board'!L67+'Admin-ED'!L67</f>
        <v>433.33333333333331</v>
      </c>
      <c r="M67" s="25">
        <f>'Admin-Gen'!M67+'Admin-Board'!M67+'Admin-ED'!M67</f>
        <v>433.33333333333331</v>
      </c>
      <c r="N67" s="25">
        <f>'Admin-Gen'!N67+'Admin-Board'!N67+'Admin-ED'!N67</f>
        <v>433.33333333333331</v>
      </c>
      <c r="O67" s="25">
        <f>'Admin-Gen'!O67+'Admin-Board'!O67+'Admin-ED'!O67</f>
        <v>433.33333333333331</v>
      </c>
      <c r="P67">
        <f t="shared" si="15"/>
        <v>5200</v>
      </c>
    </row>
    <row r="68" spans="1:16" x14ac:dyDescent="0.3">
      <c r="A68" s="1"/>
      <c r="B68" s="2" t="s">
        <v>55</v>
      </c>
      <c r="D68" s="43">
        <f>'Admin-Gen'!D68+'Admin-Board'!D68+'Admin-ED'!D68</f>
        <v>6500</v>
      </c>
      <c r="E68" s="43">
        <f>'Admin-Gen'!E68+'Admin-Board'!E68+'Admin-ED'!E68</f>
        <v>6500</v>
      </c>
      <c r="F68" s="43">
        <f>'Admin-Gen'!F68+'Admin-Board'!F68+'Admin-ED'!F68</f>
        <v>6500</v>
      </c>
      <c r="G68" s="43">
        <f>'Admin-Gen'!G68+'Admin-Board'!G68+'Admin-ED'!G68</f>
        <v>6500</v>
      </c>
      <c r="H68" s="43">
        <f>'Admin-Gen'!H68+'Admin-Board'!H68+'Admin-ED'!H68</f>
        <v>6500</v>
      </c>
      <c r="I68" s="43">
        <f>'Admin-Gen'!I68+'Admin-Board'!I68+'Admin-ED'!I68</f>
        <v>6500</v>
      </c>
      <c r="J68" s="43">
        <f>'Admin-Gen'!J68+'Admin-Board'!J68+'Admin-ED'!J68</f>
        <v>6500</v>
      </c>
      <c r="K68" s="43">
        <f>'Admin-Gen'!K68+'Admin-Board'!K68+'Admin-ED'!K68</f>
        <v>6500</v>
      </c>
      <c r="L68" s="43">
        <f>'Admin-Gen'!L68+'Admin-Board'!L68+'Admin-ED'!L68</f>
        <v>6500</v>
      </c>
      <c r="M68" s="43">
        <f>'Admin-Gen'!M68+'Admin-Board'!M68+'Admin-ED'!M68</f>
        <v>6500</v>
      </c>
      <c r="N68" s="43">
        <f>'Admin-Gen'!N68+'Admin-Board'!N68+'Admin-ED'!N68</f>
        <v>6500</v>
      </c>
      <c r="O68" s="43">
        <f>'Admin-Gen'!O68+'Admin-Board'!O68+'Admin-ED'!O68</f>
        <v>6500</v>
      </c>
      <c r="P68">
        <f>SUM(D68:O68)</f>
        <v>78000</v>
      </c>
    </row>
    <row r="69" spans="1:16" x14ac:dyDescent="0.3">
      <c r="A69" s="1"/>
      <c r="B69" s="2" t="s">
        <v>56</v>
      </c>
      <c r="D69" s="43">
        <f>'Admin-Gen'!D69+'Admin-Board'!D69+'Admin-ED'!D69</f>
        <v>2865</v>
      </c>
      <c r="E69" s="43">
        <f>'Admin-Gen'!E69+'Admin-Board'!E69+'Admin-ED'!E69</f>
        <v>2865</v>
      </c>
      <c r="F69" s="43">
        <f>'Admin-Gen'!F69+'Admin-Board'!F69+'Admin-ED'!F69</f>
        <v>2865</v>
      </c>
      <c r="G69" s="43">
        <f>'Admin-Gen'!G69+'Admin-Board'!G69+'Admin-ED'!G69</f>
        <v>2865</v>
      </c>
      <c r="H69" s="43">
        <f>'Admin-Gen'!H69+'Admin-Board'!H69+'Admin-ED'!H69</f>
        <v>2865</v>
      </c>
      <c r="I69" s="43">
        <f>'Admin-Gen'!I69+'Admin-Board'!I69+'Admin-ED'!I69</f>
        <v>3865</v>
      </c>
      <c r="J69" s="25">
        <f>'Admin-Gen'!J69+'Admin-Board'!J69+'Admin-ED'!J69</f>
        <v>2865</v>
      </c>
      <c r="K69" s="25">
        <f>'Admin-Gen'!K69+'Admin-Board'!K69+'Admin-ED'!K69</f>
        <v>2865</v>
      </c>
      <c r="L69" s="25">
        <f>'Admin-Gen'!L69+'Admin-Board'!L69+'Admin-ED'!L69</f>
        <v>2865</v>
      </c>
      <c r="M69" s="25">
        <f>'Admin-Gen'!M69+'Admin-Board'!M69+'Admin-ED'!M69</f>
        <v>2865</v>
      </c>
      <c r="N69" s="25">
        <f>'Admin-Gen'!N69+'Admin-Board'!N69+'Admin-ED'!N69</f>
        <v>2865</v>
      </c>
      <c r="O69" s="25">
        <f>'Admin-Gen'!O69+'Admin-Board'!O69+'Admin-ED'!O69</f>
        <v>2865</v>
      </c>
      <c r="P69">
        <f>SUM(D69:O69)</f>
        <v>35380</v>
      </c>
    </row>
    <row r="70" spans="1:16" x14ac:dyDescent="0.3">
      <c r="A70" s="1"/>
      <c r="B70" s="2" t="s">
        <v>57</v>
      </c>
      <c r="D70" s="43">
        <f>'Admin-Gen'!D70+'Admin-Board'!D70+'Admin-ED'!D70</f>
        <v>0</v>
      </c>
      <c r="E70" s="43">
        <f>'Admin-Gen'!E70+'Admin-Board'!E70+'Admin-ED'!E70</f>
        <v>0</v>
      </c>
      <c r="F70" s="43">
        <f>'Admin-Gen'!F70+'Admin-Board'!F70+'Admin-ED'!F70</f>
        <v>0</v>
      </c>
      <c r="G70" s="43">
        <f>'Admin-Gen'!G70+'Admin-Board'!G70+'Admin-ED'!G70</f>
        <v>0</v>
      </c>
      <c r="H70" s="43">
        <f>'Admin-Gen'!H70+'Admin-Board'!H70+'Admin-ED'!H70</f>
        <v>0</v>
      </c>
      <c r="I70" s="43">
        <f>'Admin-Gen'!I70+'Admin-Board'!I70+'Admin-ED'!I70</f>
        <v>0</v>
      </c>
      <c r="J70" s="25">
        <f>'Admin-Gen'!J70+'Admin-Board'!J70+'Admin-ED'!J70</f>
        <v>0</v>
      </c>
      <c r="K70" s="25">
        <f>'Admin-Gen'!K70+'Admin-Board'!K70+'Admin-ED'!K70</f>
        <v>0</v>
      </c>
      <c r="L70" s="25">
        <f>'Admin-Gen'!L70+'Admin-Board'!L70+'Admin-ED'!L70</f>
        <v>0</v>
      </c>
      <c r="M70" s="25">
        <f>'Admin-Gen'!M70+'Admin-Board'!M70+'Admin-ED'!M70</f>
        <v>0</v>
      </c>
      <c r="N70" s="25">
        <f>'Admin-Gen'!N70+'Admin-Board'!N70+'Admin-ED'!N70</f>
        <v>0</v>
      </c>
      <c r="O70" s="25">
        <f>'Admin-Gen'!O70+'Admin-Board'!O70+'Admin-ED'!O70</f>
        <v>0</v>
      </c>
      <c r="P70">
        <f t="shared" si="15"/>
        <v>0</v>
      </c>
    </row>
    <row r="71" spans="1:16" x14ac:dyDescent="0.3">
      <c r="A71" s="1"/>
      <c r="B71" s="2" t="s">
        <v>58</v>
      </c>
      <c r="D71" s="43">
        <f>'Admin-Gen'!D71+'Admin-Board'!D71+'Admin-ED'!D71</f>
        <v>0</v>
      </c>
      <c r="E71" s="43">
        <f>'Admin-Gen'!E71+'Admin-Board'!E71+'Admin-ED'!E71</f>
        <v>0</v>
      </c>
      <c r="F71" s="43">
        <f>'Admin-Gen'!F71+'Admin-Board'!F71+'Admin-ED'!F71</f>
        <v>0</v>
      </c>
      <c r="G71" s="43">
        <f>'Admin-Gen'!G71+'Admin-Board'!G71+'Admin-ED'!G71</f>
        <v>8500</v>
      </c>
      <c r="H71" s="43">
        <f>'Admin-Gen'!H71+'Admin-Board'!H71+'Admin-ED'!H71</f>
        <v>6500</v>
      </c>
      <c r="I71" s="43">
        <f>'Admin-Gen'!I71+'Admin-Board'!I71+'Admin-ED'!I71</f>
        <v>0</v>
      </c>
      <c r="J71" s="25">
        <f>'Admin-Gen'!J71+'Admin-Board'!J71+'Admin-ED'!J71</f>
        <v>0</v>
      </c>
      <c r="K71" s="25">
        <f>'Admin-Gen'!K71+'Admin-Board'!K71+'Admin-ED'!K71</f>
        <v>0</v>
      </c>
      <c r="L71" s="25">
        <f>'Admin-Gen'!L71+'Admin-Board'!L71+'Admin-ED'!L71</f>
        <v>0</v>
      </c>
      <c r="M71" s="25">
        <f>'Admin-Gen'!M71+'Admin-Board'!M71+'Admin-ED'!M71</f>
        <v>0</v>
      </c>
      <c r="N71" s="25">
        <f>'Admin-Gen'!N71+'Admin-Board'!N71+'Admin-ED'!N71</f>
        <v>0</v>
      </c>
      <c r="O71" s="25">
        <f>'Admin-Gen'!O71+'Admin-Board'!O71+'Admin-ED'!O71</f>
        <v>0</v>
      </c>
      <c r="P71">
        <f t="shared" si="15"/>
        <v>15000</v>
      </c>
    </row>
    <row r="72" spans="1:16" x14ac:dyDescent="0.3">
      <c r="A72" s="1"/>
      <c r="B72" s="2" t="s">
        <v>59</v>
      </c>
      <c r="D72" s="43">
        <f>'Admin-Gen'!D72+'Admin-Board'!D72+'Admin-ED'!D72</f>
        <v>0</v>
      </c>
      <c r="E72" s="43">
        <f>'Admin-Gen'!E72+'Admin-Board'!E72+'Admin-ED'!E72</f>
        <v>0</v>
      </c>
      <c r="F72" s="43">
        <f>'Admin-Gen'!F72+'Admin-Board'!F72+'Admin-ED'!F72</f>
        <v>0</v>
      </c>
      <c r="G72" s="43">
        <f>'Admin-Gen'!G72+'Admin-Board'!G72+'Admin-ED'!G72</f>
        <v>0</v>
      </c>
      <c r="H72" s="43">
        <f>'Admin-Gen'!H72+'Admin-Board'!H72+'Admin-ED'!H72</f>
        <v>0</v>
      </c>
      <c r="I72" s="43">
        <f>'Admin-Gen'!I72+'Admin-Board'!I72+'Admin-ED'!I72</f>
        <v>0</v>
      </c>
      <c r="J72" s="25">
        <f>'Admin-Gen'!J72+'Admin-Board'!J72+'Admin-ED'!J72</f>
        <v>0</v>
      </c>
      <c r="K72" s="25">
        <f>'Admin-Gen'!K72+'Admin-Board'!K72+'Admin-ED'!K72</f>
        <v>0</v>
      </c>
      <c r="L72" s="25">
        <f>'Admin-Gen'!L72+'Admin-Board'!L72+'Admin-ED'!L72</f>
        <v>0</v>
      </c>
      <c r="M72" s="25">
        <f>'Admin-Gen'!M72+'Admin-Board'!M72+'Admin-ED'!M72</f>
        <v>0</v>
      </c>
      <c r="N72" s="25">
        <f>'Admin-Gen'!N72+'Admin-Board'!N72+'Admin-ED'!N72</f>
        <v>0</v>
      </c>
      <c r="O72" s="25">
        <f>'Admin-Gen'!O72+'Admin-Board'!O72+'Admin-ED'!O72</f>
        <v>0</v>
      </c>
      <c r="P72">
        <f t="shared" si="15"/>
        <v>0</v>
      </c>
    </row>
    <row r="73" spans="1:16" x14ac:dyDescent="0.3">
      <c r="A73" s="1"/>
      <c r="B73" s="2" t="s">
        <v>60</v>
      </c>
      <c r="D73" s="43">
        <f>'Admin-Gen'!D73+'Admin-Board'!D73+'Admin-ED'!D73</f>
        <v>0</v>
      </c>
      <c r="E73" s="43">
        <f>'Admin-Gen'!E73+'Admin-Board'!E73+'Admin-ED'!E73</f>
        <v>0</v>
      </c>
      <c r="F73" s="43">
        <f>'Admin-Gen'!F73+'Admin-Board'!F73+'Admin-ED'!F73</f>
        <v>0</v>
      </c>
      <c r="G73" s="43">
        <f>'Admin-Gen'!G73+'Admin-Board'!G73+'Admin-ED'!G73</f>
        <v>0</v>
      </c>
      <c r="H73" s="43">
        <f>'Admin-Gen'!H73+'Admin-Board'!H73+'Admin-ED'!H73</f>
        <v>0</v>
      </c>
      <c r="I73" s="43">
        <f>'Admin-Gen'!I73+'Admin-Board'!I73+'Admin-ED'!I73</f>
        <v>0</v>
      </c>
      <c r="J73" s="25">
        <f>'Admin-Gen'!J73+'Admin-Board'!J73+'Admin-ED'!J73</f>
        <v>0</v>
      </c>
      <c r="K73" s="25">
        <f>'Admin-Gen'!K73+'Admin-Board'!K73+'Admin-ED'!K73</f>
        <v>0</v>
      </c>
      <c r="L73" s="25">
        <f>'Admin-Gen'!L73+'Admin-Board'!L73+'Admin-ED'!L73</f>
        <v>0</v>
      </c>
      <c r="M73" s="25">
        <f>'Admin-Gen'!M73+'Admin-Board'!M73+'Admin-ED'!M73</f>
        <v>0</v>
      </c>
      <c r="N73" s="25">
        <f>'Admin-Gen'!N73+'Admin-Board'!N73+'Admin-ED'!N73</f>
        <v>0</v>
      </c>
      <c r="O73" s="25">
        <f>'Admin-Gen'!O73+'Admin-Board'!O73+'Admin-ED'!O73</f>
        <v>0</v>
      </c>
      <c r="P73">
        <f t="shared" si="15"/>
        <v>0</v>
      </c>
    </row>
    <row r="74" spans="1:16" x14ac:dyDescent="0.3">
      <c r="A74" s="1"/>
      <c r="B74" s="2" t="s">
        <v>61</v>
      </c>
      <c r="D74" s="43">
        <f>'Admin-Gen'!D74+'Admin-Board'!D74+'Admin-ED'!D74</f>
        <v>2075</v>
      </c>
      <c r="E74" s="43">
        <f>'Admin-Gen'!E74+'Admin-Board'!E74+'Admin-ED'!E74</f>
        <v>2075</v>
      </c>
      <c r="F74" s="43">
        <f>'Admin-Gen'!F74+'Admin-Board'!F74+'Admin-ED'!F74</f>
        <v>2825</v>
      </c>
      <c r="G74" s="43">
        <f>'Admin-Gen'!G74+'Admin-Board'!G74+'Admin-ED'!G74</f>
        <v>2075</v>
      </c>
      <c r="H74" s="43">
        <f>'Admin-Gen'!H74+'Admin-Board'!H74+'Admin-ED'!H74</f>
        <v>2100</v>
      </c>
      <c r="I74" s="43">
        <f>'Admin-Gen'!I74+'Admin-Board'!I74+'Admin-ED'!I74</f>
        <v>2075</v>
      </c>
      <c r="J74" s="25">
        <f>'Admin-Gen'!J74+'Admin-Board'!J74+'Admin-ED'!J74</f>
        <v>2075</v>
      </c>
      <c r="K74" s="25">
        <f>'Admin-Gen'!K74+'Admin-Board'!K74+'Admin-ED'!K74</f>
        <v>2075</v>
      </c>
      <c r="L74" s="25">
        <f>'Admin-Gen'!L74+'Admin-Board'!L74+'Admin-ED'!L74</f>
        <v>2075</v>
      </c>
      <c r="M74" s="25">
        <f>'Admin-Gen'!M74+'Admin-Board'!M74+'Admin-ED'!M74</f>
        <v>2075</v>
      </c>
      <c r="N74" s="25">
        <f>'Admin-Gen'!N74+'Admin-Board'!N74+'Admin-ED'!N74</f>
        <v>2075</v>
      </c>
      <c r="O74" s="25">
        <f>'Admin-Gen'!O74+'Admin-Board'!O74+'Admin-ED'!O74</f>
        <v>2075</v>
      </c>
      <c r="P74">
        <f t="shared" si="15"/>
        <v>25675</v>
      </c>
    </row>
    <row r="75" spans="1:16" x14ac:dyDescent="0.3">
      <c r="A75" s="1"/>
      <c r="B75" s="2" t="s">
        <v>62</v>
      </c>
      <c r="D75" s="43">
        <f>'Admin-Gen'!D75+'Admin-Board'!D75+'Admin-ED'!D75</f>
        <v>0</v>
      </c>
      <c r="E75" s="43">
        <f>'Admin-Gen'!E75+'Admin-Board'!E75+'Admin-ED'!E75</f>
        <v>0</v>
      </c>
      <c r="F75" s="43">
        <f>'Admin-Gen'!F75+'Admin-Board'!F75+'Admin-ED'!F75</f>
        <v>0</v>
      </c>
      <c r="G75" s="43">
        <f>'Admin-Gen'!G75+'Admin-Board'!G75+'Admin-ED'!G75</f>
        <v>0</v>
      </c>
      <c r="H75" s="43">
        <f>'Admin-Gen'!H75+'Admin-Board'!H75+'Admin-ED'!H75</f>
        <v>0</v>
      </c>
      <c r="I75" s="43">
        <f>'Admin-Gen'!I75+'Admin-Board'!I75+'Admin-ED'!I75</f>
        <v>0</v>
      </c>
      <c r="J75" s="25">
        <f>'Admin-Gen'!J75+'Admin-Board'!J75+'Admin-ED'!J75</f>
        <v>0</v>
      </c>
      <c r="K75" s="25">
        <f>'Admin-Gen'!K75+'Admin-Board'!K75+'Admin-ED'!K75</f>
        <v>0</v>
      </c>
      <c r="L75" s="25">
        <f>'Admin-Gen'!L75+'Admin-Board'!L75+'Admin-ED'!L75</f>
        <v>0</v>
      </c>
      <c r="M75" s="25">
        <f>'Admin-Gen'!M75+'Admin-Board'!M75+'Admin-ED'!M75</f>
        <v>0</v>
      </c>
      <c r="N75" s="25">
        <f>'Admin-Gen'!N75+'Admin-Board'!N75+'Admin-ED'!N75</f>
        <v>0</v>
      </c>
      <c r="O75" s="25">
        <f>'Admin-Gen'!O75+'Admin-Board'!O75+'Admin-ED'!O75</f>
        <v>0</v>
      </c>
      <c r="P75">
        <f t="shared" si="15"/>
        <v>0</v>
      </c>
    </row>
    <row r="76" spans="1:16" x14ac:dyDescent="0.3">
      <c r="A76" s="1"/>
      <c r="B76" s="2" t="s">
        <v>63</v>
      </c>
      <c r="D76" s="43">
        <f>'Admin-Gen'!D76+'Admin-Board'!D76+'Admin-ED'!D76</f>
        <v>300</v>
      </c>
      <c r="E76" s="43">
        <f>'Admin-Gen'!E76+'Admin-Board'!E76+'Admin-ED'!E76</f>
        <v>300</v>
      </c>
      <c r="F76" s="43">
        <f>'Admin-Gen'!F76+'Admin-Board'!F76+'Admin-ED'!F76</f>
        <v>300</v>
      </c>
      <c r="G76" s="43">
        <f>'Admin-Gen'!G76+'Admin-Board'!G76+'Admin-ED'!G76</f>
        <v>300</v>
      </c>
      <c r="H76" s="43">
        <f>'Admin-Gen'!H76+'Admin-Board'!H76+'Admin-ED'!H76</f>
        <v>300</v>
      </c>
      <c r="I76" s="43">
        <f>'Admin-Gen'!I76+'Admin-Board'!I76+'Admin-ED'!I76</f>
        <v>300</v>
      </c>
      <c r="J76" s="25">
        <f>'Admin-Gen'!J76+'Admin-Board'!J76+'Admin-ED'!J76</f>
        <v>300</v>
      </c>
      <c r="K76" s="25">
        <f>'Admin-Gen'!K76+'Admin-Board'!K76+'Admin-ED'!K76</f>
        <v>300</v>
      </c>
      <c r="L76" s="25">
        <f>'Admin-Gen'!L76+'Admin-Board'!L76+'Admin-ED'!L76</f>
        <v>300</v>
      </c>
      <c r="M76" s="25">
        <f>'Admin-Gen'!M76+'Admin-Board'!M76+'Admin-ED'!M76</f>
        <v>300</v>
      </c>
      <c r="N76" s="25">
        <f>'Admin-Gen'!N76+'Admin-Board'!N76+'Admin-ED'!N76</f>
        <v>300</v>
      </c>
      <c r="O76" s="25">
        <f>'Admin-Gen'!O76+'Admin-Board'!O76+'Admin-ED'!O76</f>
        <v>300</v>
      </c>
      <c r="P76">
        <f t="shared" si="15"/>
        <v>3600</v>
      </c>
    </row>
    <row r="77" spans="1:16" x14ac:dyDescent="0.3">
      <c r="A77" s="2" t="s">
        <v>17</v>
      </c>
      <c r="B77" s="2" t="s">
        <v>64</v>
      </c>
      <c r="D77" s="43">
        <f>'Admin-Gen'!D77+'Admin-Board'!D77+'Admin-ED'!D77</f>
        <v>0</v>
      </c>
      <c r="E77" s="43">
        <f>'Admin-Gen'!E77+'Admin-Board'!E77+'Admin-ED'!E77</f>
        <v>0</v>
      </c>
      <c r="F77" s="43">
        <f>'Admin-Gen'!F77+'Admin-Board'!F77+'Admin-ED'!F77</f>
        <v>0</v>
      </c>
      <c r="G77" s="43">
        <f>'Admin-Gen'!G77+'Admin-Board'!G77+'Admin-ED'!G77</f>
        <v>0</v>
      </c>
      <c r="H77" s="43">
        <f>'Admin-Gen'!H77+'Admin-Board'!H77+'Admin-ED'!H77</f>
        <v>0</v>
      </c>
      <c r="I77" s="43">
        <f>'Admin-Gen'!I77+'Admin-Board'!I77+'Admin-ED'!I77</f>
        <v>0</v>
      </c>
      <c r="J77" s="25">
        <f>'Admin-Gen'!J77+'Admin-Board'!J77+'Admin-ED'!J77</f>
        <v>0</v>
      </c>
      <c r="K77" s="25">
        <f>'Admin-Gen'!K77+'Admin-Board'!K77+'Admin-ED'!K77</f>
        <v>0</v>
      </c>
      <c r="L77" s="25">
        <f>'Admin-Gen'!L77+'Admin-Board'!L77+'Admin-ED'!L77</f>
        <v>0</v>
      </c>
      <c r="M77" s="25">
        <f>'Admin-Gen'!M77+'Admin-Board'!M77+'Admin-ED'!M77</f>
        <v>0</v>
      </c>
      <c r="N77" s="25">
        <f>'Admin-Gen'!N77+'Admin-Board'!N77+'Admin-ED'!N77</f>
        <v>0</v>
      </c>
      <c r="O77" s="25">
        <f>'Admin-Gen'!O77+'Admin-Board'!O77+'Admin-ED'!O77</f>
        <v>0</v>
      </c>
      <c r="P77">
        <f t="shared" si="15"/>
        <v>0</v>
      </c>
    </row>
    <row r="78" spans="1:16" x14ac:dyDescent="0.3">
      <c r="A78" s="1"/>
      <c r="B78" s="2" t="s">
        <v>65</v>
      </c>
      <c r="D78" s="43">
        <f>'Admin-Gen'!D78+'Admin-Board'!D78+'Admin-ED'!D78</f>
        <v>25</v>
      </c>
      <c r="E78" s="43">
        <f>'Admin-Gen'!E78+'Admin-Board'!E78+'Admin-ED'!E78</f>
        <v>25</v>
      </c>
      <c r="F78" s="43">
        <f>'Admin-Gen'!F78+'Admin-Board'!F78+'Admin-ED'!F78</f>
        <v>100</v>
      </c>
      <c r="G78" s="43">
        <f>'Admin-Gen'!G78+'Admin-Board'!G78+'Admin-ED'!G78</f>
        <v>25</v>
      </c>
      <c r="H78" s="43">
        <f>'Admin-Gen'!H78+'Admin-Board'!H78+'Admin-ED'!H78</f>
        <v>25</v>
      </c>
      <c r="I78" s="43">
        <f>'Admin-Gen'!I78+'Admin-Board'!I78+'Admin-ED'!I78</f>
        <v>100</v>
      </c>
      <c r="J78" s="25">
        <f>'Admin-Gen'!J78+'Admin-Board'!J78+'Admin-ED'!J78</f>
        <v>25</v>
      </c>
      <c r="K78" s="25">
        <f>'Admin-Gen'!K78+'Admin-Board'!K78+'Admin-ED'!K78</f>
        <v>25</v>
      </c>
      <c r="L78" s="25">
        <f>'Admin-Gen'!L78+'Admin-Board'!L78+'Admin-ED'!L78</f>
        <v>100</v>
      </c>
      <c r="M78" s="25">
        <f>'Admin-Gen'!M78+'Admin-Board'!M78+'Admin-ED'!M78</f>
        <v>25</v>
      </c>
      <c r="N78" s="25">
        <f>'Admin-Gen'!N78+'Admin-Board'!N78+'Admin-ED'!N78</f>
        <v>25</v>
      </c>
      <c r="O78" s="25">
        <f>'Admin-Gen'!O78+'Admin-Board'!O78+'Admin-ED'!O78</f>
        <v>100</v>
      </c>
      <c r="P78">
        <f t="shared" si="15"/>
        <v>600</v>
      </c>
    </row>
    <row r="79" spans="1:16" x14ac:dyDescent="0.3">
      <c r="A79" s="1"/>
      <c r="B79" s="1"/>
      <c r="D79" s="43">
        <f>'Admin-Gen'!D79+'Admin-Board'!D79+'Admin-ED'!D79</f>
        <v>0</v>
      </c>
      <c r="E79" s="43">
        <f>'Admin-Gen'!E79+'Admin-Board'!E79+'Admin-ED'!E79</f>
        <v>0</v>
      </c>
      <c r="F79" s="43">
        <f>'Admin-Gen'!F79+'Admin-Board'!F79+'Admin-ED'!F79</f>
        <v>0</v>
      </c>
      <c r="G79" s="43">
        <f>'Admin-Gen'!G79+'Admin-Board'!G79+'Admin-ED'!G79</f>
        <v>0</v>
      </c>
      <c r="H79" s="43">
        <f>'Admin-Gen'!H79+'Admin-Board'!H79+'Admin-ED'!H79</f>
        <v>0</v>
      </c>
      <c r="I79" s="43">
        <f>'Admin-Gen'!I79+'Admin-Board'!I79+'Admin-ED'!I79</f>
        <v>0</v>
      </c>
      <c r="J79" s="25">
        <f>'Admin-Gen'!J79+'Admin-Board'!J79+'Admin-ED'!J79</f>
        <v>0</v>
      </c>
      <c r="K79" s="25">
        <f>'Admin-Gen'!K79+'Admin-Board'!K79+'Admin-ED'!K79</f>
        <v>0</v>
      </c>
      <c r="L79" s="25">
        <f>'Admin-Gen'!L79+'Admin-Board'!L79+'Admin-ED'!L79</f>
        <v>0</v>
      </c>
      <c r="M79" s="25">
        <f>'Admin-Gen'!M79+'Admin-Board'!M79+'Admin-ED'!M79</f>
        <v>0</v>
      </c>
      <c r="N79" s="25">
        <f>'Admin-Gen'!N79+'Admin-Board'!N79+'Admin-ED'!N79</f>
        <v>0</v>
      </c>
      <c r="O79" s="25">
        <f>'Admin-Gen'!O79+'Admin-Board'!O79+'Admin-ED'!O79</f>
        <v>0</v>
      </c>
      <c r="P79">
        <f t="shared" si="15"/>
        <v>0</v>
      </c>
    </row>
    <row r="80" spans="1:16" x14ac:dyDescent="0.3">
      <c r="A80" s="1"/>
      <c r="B80" s="2"/>
      <c r="D80" s="43">
        <f>'Admin-Gen'!D80+'Admin-Board'!D80+'Admin-ED'!D80</f>
        <v>0</v>
      </c>
      <c r="E80" s="43">
        <f>'Admin-Gen'!E80+'Admin-Board'!E80+'Admin-ED'!E80</f>
        <v>0</v>
      </c>
      <c r="F80" s="43">
        <f>'Admin-Gen'!F80+'Admin-Board'!F80+'Admin-ED'!F80</f>
        <v>0</v>
      </c>
      <c r="G80" s="43">
        <f>'Admin-Gen'!G80+'Admin-Board'!G80+'Admin-ED'!G80</f>
        <v>0</v>
      </c>
      <c r="H80" s="43">
        <f>'Admin-Gen'!H80+'Admin-Board'!H80+'Admin-ED'!H80</f>
        <v>0</v>
      </c>
      <c r="I80" s="43">
        <f>'Admin-Gen'!I80+'Admin-Board'!I80+'Admin-ED'!I80</f>
        <v>0</v>
      </c>
      <c r="J80" s="25">
        <f>'Admin-Gen'!J80+'Admin-Board'!J80+'Admin-ED'!J80</f>
        <v>0</v>
      </c>
      <c r="K80" s="25">
        <f>'Admin-Gen'!K80+'Admin-Board'!K80+'Admin-ED'!K80</f>
        <v>0</v>
      </c>
      <c r="L80" s="25">
        <f>'Admin-Gen'!L80+'Admin-Board'!L80+'Admin-ED'!L80</f>
        <v>0</v>
      </c>
      <c r="M80" s="25">
        <f>'Admin-Gen'!M80+'Admin-Board'!M80+'Admin-ED'!M80</f>
        <v>0</v>
      </c>
      <c r="N80" s="25">
        <f>'Admin-Gen'!N80+'Admin-Board'!N80+'Admin-ED'!N80</f>
        <v>0</v>
      </c>
      <c r="O80" s="25">
        <f>'Admin-Gen'!O80+'Admin-Board'!O80+'Admin-ED'!O80</f>
        <v>0</v>
      </c>
      <c r="P80">
        <f t="shared" si="15"/>
        <v>0</v>
      </c>
    </row>
    <row r="81" spans="1:17" x14ac:dyDescent="0.3">
      <c r="A81" s="1"/>
      <c r="B81" s="2"/>
      <c r="D81" s="43">
        <f>'Admin-Gen'!D81+'Admin-Board'!D81+'Admin-ED'!D81</f>
        <v>0</v>
      </c>
      <c r="E81" s="43">
        <f>'Admin-Gen'!E81+'Admin-Board'!E81+'Admin-ED'!E81</f>
        <v>0</v>
      </c>
      <c r="F81" s="43">
        <f>'Admin-Gen'!F81+'Admin-Board'!F81+'Admin-ED'!F81</f>
        <v>0</v>
      </c>
      <c r="G81" s="43">
        <f>'Admin-Gen'!G81+'Admin-Board'!G81+'Admin-ED'!G81</f>
        <v>0</v>
      </c>
      <c r="H81" s="43">
        <f>'Admin-Gen'!H81+'Admin-Board'!H81+'Admin-ED'!H81</f>
        <v>0</v>
      </c>
      <c r="I81" s="43">
        <f>'Admin-Gen'!I81+'Admin-Board'!I81+'Admin-ED'!I81</f>
        <v>0</v>
      </c>
      <c r="J81" s="25">
        <f>'Admin-Gen'!J81+'Admin-Board'!J81+'Admin-ED'!J81</f>
        <v>0</v>
      </c>
      <c r="K81" s="25">
        <f>'Admin-Gen'!K81+'Admin-Board'!K81+'Admin-ED'!K81</f>
        <v>0</v>
      </c>
      <c r="L81" s="25">
        <f>'Admin-Gen'!L81+'Admin-Board'!L81+'Admin-ED'!L81</f>
        <v>0</v>
      </c>
      <c r="M81" s="25">
        <f>'Admin-Gen'!M81+'Admin-Board'!M81+'Admin-ED'!M81</f>
        <v>0</v>
      </c>
      <c r="N81" s="25">
        <f>'Admin-Gen'!N81+'Admin-Board'!N81+'Admin-ED'!N81</f>
        <v>0</v>
      </c>
      <c r="O81" s="25">
        <f>'Admin-Gen'!O81+'Admin-Board'!O81+'Admin-ED'!O81</f>
        <v>0</v>
      </c>
      <c r="P81">
        <f t="shared" si="15"/>
        <v>0</v>
      </c>
    </row>
    <row r="82" spans="1:17" x14ac:dyDescent="0.3">
      <c r="A82" s="1"/>
      <c r="B82" s="2"/>
      <c r="D82" s="43">
        <f>'Admin-Gen'!D82+'Admin-Board'!D82+'Admin-ED'!D82</f>
        <v>0</v>
      </c>
      <c r="E82" s="43">
        <f>'Admin-Gen'!E82+'Admin-Board'!E82+'Admin-ED'!E82</f>
        <v>0</v>
      </c>
      <c r="F82" s="43">
        <f>'Admin-Gen'!F82+'Admin-Board'!F82+'Admin-ED'!F82</f>
        <v>0</v>
      </c>
      <c r="G82" s="43">
        <f>'Admin-Gen'!G82+'Admin-Board'!G82+'Admin-ED'!G82</f>
        <v>0</v>
      </c>
      <c r="H82" s="43">
        <f>'Admin-Gen'!H82+'Admin-Board'!H82+'Admin-ED'!H82</f>
        <v>0</v>
      </c>
      <c r="I82" s="43">
        <f>'Admin-Gen'!I82+'Admin-Board'!I82+'Admin-ED'!I82</f>
        <v>0</v>
      </c>
      <c r="J82" s="25">
        <f>'Admin-Gen'!J82+'Admin-Board'!J82+'Admin-ED'!J82</f>
        <v>0</v>
      </c>
      <c r="K82" s="25">
        <f>'Admin-Gen'!K82+'Admin-Board'!K82+'Admin-ED'!K82</f>
        <v>0</v>
      </c>
      <c r="L82" s="25">
        <f>'Admin-Gen'!L82+'Admin-Board'!L82+'Admin-ED'!L82</f>
        <v>0</v>
      </c>
      <c r="M82" s="25">
        <f>'Admin-Gen'!M82+'Admin-Board'!M82+'Admin-ED'!M82</f>
        <v>0</v>
      </c>
      <c r="N82" s="25">
        <f>'Admin-Gen'!N82+'Admin-Board'!N82+'Admin-ED'!N82</f>
        <v>0</v>
      </c>
      <c r="O82" s="25">
        <f>'Admin-Gen'!O82+'Admin-Board'!O82+'Admin-ED'!O82</f>
        <v>0</v>
      </c>
      <c r="P82">
        <f t="shared" si="15"/>
        <v>0</v>
      </c>
    </row>
    <row r="83" spans="1:17" x14ac:dyDescent="0.3">
      <c r="A83" s="1"/>
      <c r="B83" s="2"/>
      <c r="D83" s="43">
        <f>'Admin-Gen'!D83+'Admin-Board'!D83+'Admin-ED'!D83</f>
        <v>0</v>
      </c>
      <c r="E83" s="43">
        <f>'Admin-Gen'!E83+'Admin-Board'!E83+'Admin-ED'!E83</f>
        <v>0</v>
      </c>
      <c r="F83" s="43">
        <f>'Admin-Gen'!F83+'Admin-Board'!F83+'Admin-ED'!F83</f>
        <v>0</v>
      </c>
      <c r="G83" s="43">
        <f>'Admin-Gen'!G83+'Admin-Board'!G83+'Admin-ED'!G83</f>
        <v>0</v>
      </c>
      <c r="H83" s="43">
        <f>'Admin-Gen'!H83+'Admin-Board'!H83+'Admin-ED'!H83</f>
        <v>0</v>
      </c>
      <c r="I83" s="43">
        <f>'Admin-Gen'!I83+'Admin-Board'!I83+'Admin-ED'!I83</f>
        <v>0</v>
      </c>
      <c r="J83" s="25">
        <f>'Admin-Gen'!J83+'Admin-Board'!J83+'Admin-ED'!J83</f>
        <v>0</v>
      </c>
      <c r="K83" s="25">
        <f>'Admin-Gen'!K83+'Admin-Board'!K83+'Admin-ED'!K83</f>
        <v>0</v>
      </c>
      <c r="L83" s="25">
        <f>'Admin-Gen'!L83+'Admin-Board'!L83+'Admin-ED'!L83</f>
        <v>0</v>
      </c>
      <c r="M83" s="25">
        <f>'Admin-Gen'!M83+'Admin-Board'!M83+'Admin-ED'!M83</f>
        <v>0</v>
      </c>
      <c r="N83" s="25">
        <f>'Admin-Gen'!N83+'Admin-Board'!N83+'Admin-ED'!N83</f>
        <v>0</v>
      </c>
      <c r="O83" s="25">
        <f>'Admin-Gen'!O83+'Admin-Board'!O83+'Admin-ED'!O83</f>
        <v>0</v>
      </c>
      <c r="P83">
        <f t="shared" si="15"/>
        <v>0</v>
      </c>
    </row>
    <row r="84" spans="1:17" x14ac:dyDescent="0.3">
      <c r="A84" s="195" t="s">
        <v>66</v>
      </c>
      <c r="B84" s="195"/>
      <c r="D84" s="4">
        <f t="shared" ref="D84:I84" si="16">SUM(D56:D83)</f>
        <v>13409.166666666666</v>
      </c>
      <c r="E84" s="4">
        <f t="shared" si="16"/>
        <v>13409.166666666666</v>
      </c>
      <c r="F84" s="4">
        <f t="shared" si="16"/>
        <v>14234.166666666666</v>
      </c>
      <c r="G84" s="4">
        <f t="shared" si="16"/>
        <v>21909.166666666664</v>
      </c>
      <c r="H84" s="4">
        <f t="shared" si="16"/>
        <v>19934.166666666664</v>
      </c>
      <c r="I84" s="4">
        <f t="shared" si="16"/>
        <v>14484.166666666666</v>
      </c>
      <c r="J84" s="4">
        <f t="shared" ref="J84:P84" si="17">SUM(J56:J83)</f>
        <v>13409.166666666666</v>
      </c>
      <c r="K84" s="4">
        <f t="shared" si="17"/>
        <v>13409.166666666666</v>
      </c>
      <c r="L84" s="4">
        <f t="shared" si="17"/>
        <v>13484.166666666666</v>
      </c>
      <c r="M84" s="4">
        <f t="shared" si="17"/>
        <v>13409.166666666666</v>
      </c>
      <c r="N84" s="4">
        <f t="shared" si="17"/>
        <v>13409.166666666666</v>
      </c>
      <c r="O84" s="4">
        <f t="shared" si="17"/>
        <v>13484.166666666666</v>
      </c>
      <c r="P84" s="4">
        <f t="shared" si="17"/>
        <v>177985</v>
      </c>
      <c r="Q84" s="8">
        <f>SUM(P55:P83)-P84</f>
        <v>0</v>
      </c>
    </row>
    <row r="85" spans="1:17" x14ac:dyDescent="0.3">
      <c r="A85" s="195" t="s">
        <v>67</v>
      </c>
      <c r="B85" s="195"/>
      <c r="D85" s="42"/>
      <c r="E85" s="42"/>
      <c r="F85" s="42"/>
      <c r="G85" s="42"/>
      <c r="H85" s="42"/>
      <c r="I85" s="42"/>
    </row>
    <row r="86" spans="1:17" x14ac:dyDescent="0.3">
      <c r="A86" s="1"/>
      <c r="B86" s="2" t="s">
        <v>68</v>
      </c>
      <c r="D86" s="43">
        <f>'Admin-Gen'!D86+'Admin-Board'!D86+'Admin-ED'!D86</f>
        <v>1500</v>
      </c>
      <c r="E86" s="43">
        <f>'Admin-Gen'!E86+'Admin-Board'!E86+'Admin-ED'!E86</f>
        <v>1500</v>
      </c>
      <c r="F86" s="43">
        <f>'Admin-Gen'!F86+'Admin-Board'!F86+'Admin-ED'!F86</f>
        <v>1500</v>
      </c>
      <c r="G86" s="43">
        <f>'Admin-Gen'!G86+'Admin-Board'!G86+'Admin-ED'!G86</f>
        <v>1500</v>
      </c>
      <c r="H86" s="43">
        <f>'Admin-Gen'!H86+'Admin-Board'!H86+'Admin-ED'!H86</f>
        <v>1500</v>
      </c>
      <c r="I86" s="43">
        <f>'Admin-Gen'!I86+'Admin-Board'!I86+'Admin-ED'!I86</f>
        <v>1500</v>
      </c>
      <c r="J86" s="25">
        <f>'Admin-Gen'!J86+'Admin-Board'!J86+'Admin-ED'!J86</f>
        <v>1500</v>
      </c>
      <c r="K86" s="25">
        <f>'Admin-Gen'!K86+'Admin-Board'!K86+'Admin-ED'!K86</f>
        <v>1500</v>
      </c>
      <c r="L86" s="25">
        <f>'Admin-Gen'!L86+'Admin-Board'!L86+'Admin-ED'!L86</f>
        <v>1500</v>
      </c>
      <c r="M86" s="25">
        <f>'Admin-Gen'!M86+'Admin-Board'!M86+'Admin-ED'!M86</f>
        <v>1500</v>
      </c>
      <c r="N86" s="25">
        <f>'Admin-Gen'!N86+'Admin-Board'!N86+'Admin-ED'!N86</f>
        <v>1500</v>
      </c>
      <c r="O86" s="25">
        <f>'Admin-Gen'!O86+'Admin-Board'!O86+'Admin-ED'!O86</f>
        <v>1500</v>
      </c>
      <c r="P86">
        <f t="shared" ref="P86:P104" si="18">SUM(D86:O86)</f>
        <v>18000</v>
      </c>
    </row>
    <row r="87" spans="1:17" x14ac:dyDescent="0.3">
      <c r="A87" s="1"/>
      <c r="B87" s="2" t="s">
        <v>69</v>
      </c>
      <c r="D87" s="43">
        <f>'Admin-Gen'!D87+'Admin-Board'!D87+'Admin-ED'!D87</f>
        <v>200</v>
      </c>
      <c r="E87" s="43">
        <f>'Admin-Gen'!E87+'Admin-Board'!E87+'Admin-ED'!E87</f>
        <v>200</v>
      </c>
      <c r="F87" s="43">
        <f>'Admin-Gen'!F87+'Admin-Board'!F87+'Admin-ED'!F87</f>
        <v>200</v>
      </c>
      <c r="G87" s="43">
        <f>'Admin-Gen'!G87+'Admin-Board'!G87+'Admin-ED'!G87</f>
        <v>200</v>
      </c>
      <c r="H87" s="43">
        <f>'Admin-Gen'!H87+'Admin-Board'!H87+'Admin-ED'!H87</f>
        <v>200</v>
      </c>
      <c r="I87" s="43">
        <f>'Admin-Gen'!I87+'Admin-Board'!I87+'Admin-ED'!I87</f>
        <v>200</v>
      </c>
      <c r="J87" s="25">
        <f>'Admin-Gen'!J87+'Admin-Board'!J87+'Admin-ED'!J87</f>
        <v>200</v>
      </c>
      <c r="K87" s="25">
        <f>'Admin-Gen'!K87+'Admin-Board'!K87+'Admin-ED'!K87</f>
        <v>200</v>
      </c>
      <c r="L87" s="25">
        <f>'Admin-Gen'!L87+'Admin-Board'!L87+'Admin-ED'!L87</f>
        <v>200</v>
      </c>
      <c r="M87" s="25">
        <f>'Admin-Gen'!M87+'Admin-Board'!M87+'Admin-ED'!M87</f>
        <v>200</v>
      </c>
      <c r="N87" s="25">
        <f>'Admin-Gen'!N87+'Admin-Board'!N87+'Admin-ED'!N87</f>
        <v>200</v>
      </c>
      <c r="O87" s="25">
        <f>'Admin-Gen'!O87+'Admin-Board'!O87+'Admin-ED'!O87</f>
        <v>200</v>
      </c>
      <c r="P87">
        <f t="shared" si="18"/>
        <v>2400</v>
      </c>
    </row>
    <row r="88" spans="1:17" x14ac:dyDescent="0.3">
      <c r="A88" s="1"/>
      <c r="B88" s="2" t="s">
        <v>70</v>
      </c>
      <c r="D88" s="43">
        <f>'Admin-Gen'!D88+'Admin-Board'!D88+'Admin-ED'!D88</f>
        <v>350</v>
      </c>
      <c r="E88" s="43">
        <f>'Admin-Gen'!E88+'Admin-Board'!E88+'Admin-ED'!E88</f>
        <v>350</v>
      </c>
      <c r="F88" s="43">
        <f>'Admin-Gen'!F88+'Admin-Board'!F88+'Admin-ED'!F88</f>
        <v>350</v>
      </c>
      <c r="G88" s="43">
        <f>'Admin-Gen'!G88+'Admin-Board'!G88+'Admin-ED'!G88</f>
        <v>350</v>
      </c>
      <c r="H88" s="43">
        <f>'Admin-Gen'!H88+'Admin-Board'!H88+'Admin-ED'!H88</f>
        <v>350</v>
      </c>
      <c r="I88" s="43">
        <f>'Admin-Gen'!I88+'Admin-Board'!I88+'Admin-ED'!I88</f>
        <v>350</v>
      </c>
      <c r="J88" s="25">
        <f>'Admin-Gen'!J88+'Admin-Board'!J88+'Admin-ED'!J88</f>
        <v>350</v>
      </c>
      <c r="K88" s="25">
        <f>'Admin-Gen'!K88+'Admin-Board'!K88+'Admin-ED'!K88</f>
        <v>350</v>
      </c>
      <c r="L88" s="25">
        <f>'Admin-Gen'!L88+'Admin-Board'!L88+'Admin-ED'!L88</f>
        <v>350</v>
      </c>
      <c r="M88" s="25">
        <f>'Admin-Gen'!M88+'Admin-Board'!M88+'Admin-ED'!M88</f>
        <v>350</v>
      </c>
      <c r="N88" s="25">
        <f>'Admin-Gen'!N88+'Admin-Board'!N88+'Admin-ED'!N88</f>
        <v>350</v>
      </c>
      <c r="O88" s="25">
        <f>'Admin-Gen'!O88+'Admin-Board'!O88+'Admin-ED'!O88</f>
        <v>350</v>
      </c>
      <c r="P88">
        <f t="shared" si="18"/>
        <v>4200</v>
      </c>
    </row>
    <row r="89" spans="1:17" x14ac:dyDescent="0.3">
      <c r="A89" s="1"/>
      <c r="B89" s="2" t="s">
        <v>71</v>
      </c>
      <c r="D89" s="43">
        <f>'Admin-Gen'!D89+'Admin-Board'!D89+'Admin-ED'!D89</f>
        <v>1000</v>
      </c>
      <c r="E89" s="43">
        <f>'Admin-Gen'!E89+'Admin-Board'!E89+'Admin-ED'!E89</f>
        <v>1000</v>
      </c>
      <c r="F89" s="43">
        <f>'Admin-Gen'!F89+'Admin-Board'!F89+'Admin-ED'!F89</f>
        <v>1000</v>
      </c>
      <c r="G89" s="43">
        <f>'Admin-Gen'!G89+'Admin-Board'!G89+'Admin-ED'!G89</f>
        <v>1000</v>
      </c>
      <c r="H89" s="43">
        <f>'Admin-Gen'!H89+'Admin-Board'!H89+'Admin-ED'!H89</f>
        <v>1000</v>
      </c>
      <c r="I89" s="43">
        <f>'Admin-Gen'!I89+'Admin-Board'!I89+'Admin-ED'!I89</f>
        <v>1000</v>
      </c>
      <c r="J89" s="25">
        <f>'Admin-Gen'!J89+'Admin-Board'!J89+'Admin-ED'!J89</f>
        <v>1000</v>
      </c>
      <c r="K89" s="25">
        <f>'Admin-Gen'!K89+'Admin-Board'!K89+'Admin-ED'!K89</f>
        <v>1000</v>
      </c>
      <c r="L89" s="25">
        <f>'Admin-Gen'!L89+'Admin-Board'!L89+'Admin-ED'!L89</f>
        <v>1000</v>
      </c>
      <c r="M89" s="25">
        <f>'Admin-Gen'!M89+'Admin-Board'!M89+'Admin-ED'!M89</f>
        <v>1000</v>
      </c>
      <c r="N89" s="25">
        <f>'Admin-Gen'!N89+'Admin-Board'!N89+'Admin-ED'!N89</f>
        <v>1000</v>
      </c>
      <c r="O89" s="25">
        <f>'Admin-Gen'!O89+'Admin-Board'!O89+'Admin-ED'!O89</f>
        <v>1000</v>
      </c>
      <c r="P89">
        <f t="shared" si="18"/>
        <v>12000</v>
      </c>
    </row>
    <row r="90" spans="1:17" x14ac:dyDescent="0.3">
      <c r="A90" s="1"/>
      <c r="B90" s="2" t="s">
        <v>72</v>
      </c>
      <c r="D90" s="43">
        <f>'Admin-Gen'!D90+'Admin-Board'!D90+'Admin-ED'!D90</f>
        <v>0</v>
      </c>
      <c r="E90" s="43">
        <f>'Admin-Gen'!E90+'Admin-Board'!E90+'Admin-ED'!E90</f>
        <v>0</v>
      </c>
      <c r="F90" s="43">
        <f>'Admin-Gen'!F90+'Admin-Board'!F90+'Admin-ED'!F90</f>
        <v>0</v>
      </c>
      <c r="G90" s="43">
        <f>'Admin-Gen'!G90+'Admin-Board'!G90+'Admin-ED'!G90</f>
        <v>0</v>
      </c>
      <c r="H90" s="43">
        <f>'Admin-Gen'!H90+'Admin-Board'!H90+'Admin-ED'!H90</f>
        <v>0</v>
      </c>
      <c r="I90" s="43">
        <f>'Admin-Gen'!I90+'Admin-Board'!I90+'Admin-ED'!I90</f>
        <v>0</v>
      </c>
      <c r="J90" s="25">
        <f>'Admin-Gen'!J90+'Admin-Board'!J90+'Admin-ED'!J90</f>
        <v>0</v>
      </c>
      <c r="K90" s="25">
        <f>'Admin-Gen'!K90+'Admin-Board'!K90+'Admin-ED'!K90</f>
        <v>0</v>
      </c>
      <c r="L90" s="25">
        <f>'Admin-Gen'!L90+'Admin-Board'!L90+'Admin-ED'!L90</f>
        <v>0</v>
      </c>
      <c r="M90" s="25">
        <f>'Admin-Gen'!M90+'Admin-Board'!M90+'Admin-ED'!M90</f>
        <v>0</v>
      </c>
      <c r="N90" s="25">
        <f>'Admin-Gen'!N90+'Admin-Board'!N90+'Admin-ED'!N90</f>
        <v>0</v>
      </c>
      <c r="O90" s="25">
        <f>'Admin-Gen'!O90+'Admin-Board'!O90+'Admin-ED'!O90</f>
        <v>0</v>
      </c>
      <c r="P90">
        <f t="shared" si="18"/>
        <v>0</v>
      </c>
    </row>
    <row r="91" spans="1:17" x14ac:dyDescent="0.3">
      <c r="A91" s="1"/>
      <c r="B91" s="2" t="s">
        <v>73</v>
      </c>
      <c r="D91" s="43">
        <f>'Admin-Gen'!D91+'Admin-Board'!D91+'Admin-ED'!D91</f>
        <v>0</v>
      </c>
      <c r="E91" s="43">
        <f>'Admin-Gen'!E91+'Admin-Board'!E91+'Admin-ED'!E91</f>
        <v>0</v>
      </c>
      <c r="F91" s="43">
        <f>'Admin-Gen'!F91+'Admin-Board'!F91+'Admin-ED'!F91</f>
        <v>0</v>
      </c>
      <c r="G91" s="43">
        <f>'Admin-Gen'!G91+'Admin-Board'!G91+'Admin-ED'!G91</f>
        <v>0</v>
      </c>
      <c r="H91" s="43">
        <f>'Admin-Gen'!H91+'Admin-Board'!H91+'Admin-ED'!H91</f>
        <v>0</v>
      </c>
      <c r="I91" s="43">
        <f>'Admin-Gen'!I91+'Admin-Board'!I91+'Admin-ED'!I91</f>
        <v>0</v>
      </c>
      <c r="J91" s="25">
        <f>'Admin-Gen'!J91+'Admin-Board'!J91+'Admin-ED'!J91</f>
        <v>0</v>
      </c>
      <c r="K91" s="25">
        <f>'Admin-Gen'!K91+'Admin-Board'!K91+'Admin-ED'!K91</f>
        <v>0</v>
      </c>
      <c r="L91" s="25">
        <f>'Admin-Gen'!L91+'Admin-Board'!L91+'Admin-ED'!L91</f>
        <v>0</v>
      </c>
      <c r="M91" s="25">
        <f>'Admin-Gen'!M91+'Admin-Board'!M91+'Admin-ED'!M91</f>
        <v>0</v>
      </c>
      <c r="N91" s="25">
        <f>'Admin-Gen'!N91+'Admin-Board'!N91+'Admin-ED'!N91</f>
        <v>0</v>
      </c>
      <c r="O91" s="25">
        <f>'Admin-Gen'!O91+'Admin-Board'!O91+'Admin-ED'!O91</f>
        <v>0</v>
      </c>
      <c r="P91">
        <f t="shared" si="18"/>
        <v>0</v>
      </c>
    </row>
    <row r="92" spans="1:17" x14ac:dyDescent="0.3">
      <c r="A92" s="1"/>
      <c r="B92" s="2" t="s">
        <v>74</v>
      </c>
      <c r="D92" s="43">
        <f>'Admin-Gen'!D92+'Admin-Board'!D92+'Admin-ED'!D92</f>
        <v>0</v>
      </c>
      <c r="E92" s="43">
        <f>'Admin-Gen'!E92+'Admin-Board'!E92+'Admin-ED'!E92</f>
        <v>0</v>
      </c>
      <c r="F92" s="43">
        <f>'Admin-Gen'!F92+'Admin-Board'!F92+'Admin-ED'!F92</f>
        <v>0</v>
      </c>
      <c r="G92" s="43">
        <f>'Admin-Gen'!G92+'Admin-Board'!G92+'Admin-ED'!G92</f>
        <v>0</v>
      </c>
      <c r="H92" s="43">
        <f>'Admin-Gen'!H92+'Admin-Board'!H92+'Admin-ED'!H92</f>
        <v>0</v>
      </c>
      <c r="I92" s="43">
        <f>'Admin-Gen'!I92+'Admin-Board'!I92+'Admin-ED'!I92</f>
        <v>0</v>
      </c>
      <c r="J92" s="25">
        <f>'Admin-Gen'!J92+'Admin-Board'!J92+'Admin-ED'!J92</f>
        <v>0</v>
      </c>
      <c r="K92" s="25">
        <f>'Admin-Gen'!K92+'Admin-Board'!K92+'Admin-ED'!K92</f>
        <v>0</v>
      </c>
      <c r="L92" s="25">
        <f>'Admin-Gen'!L92+'Admin-Board'!L92+'Admin-ED'!L92</f>
        <v>0</v>
      </c>
      <c r="M92" s="25">
        <f>'Admin-Gen'!M92+'Admin-Board'!M92+'Admin-ED'!M92</f>
        <v>0</v>
      </c>
      <c r="N92" s="25">
        <f>'Admin-Gen'!N92+'Admin-Board'!N92+'Admin-ED'!N92</f>
        <v>0</v>
      </c>
      <c r="O92" s="25">
        <f>'Admin-Gen'!O92+'Admin-Board'!O92+'Admin-ED'!O92</f>
        <v>0</v>
      </c>
      <c r="P92">
        <f t="shared" si="18"/>
        <v>0</v>
      </c>
    </row>
    <row r="93" spans="1:17" x14ac:dyDescent="0.3">
      <c r="A93" s="1"/>
      <c r="B93" s="2" t="s">
        <v>75</v>
      </c>
      <c r="D93" s="43">
        <f>'Admin-Gen'!D93+'Admin-Board'!D93+'Admin-ED'!D93</f>
        <v>0</v>
      </c>
      <c r="E93" s="43">
        <f>'Admin-Gen'!E93+'Admin-Board'!E93+'Admin-ED'!E93</f>
        <v>0</v>
      </c>
      <c r="F93" s="43">
        <f>'Admin-Gen'!F93+'Admin-Board'!F93+'Admin-ED'!F93</f>
        <v>0</v>
      </c>
      <c r="G93" s="43">
        <f>'Admin-Gen'!G93+'Admin-Board'!G93+'Admin-ED'!G93</f>
        <v>0</v>
      </c>
      <c r="H93" s="43">
        <f>'Admin-Gen'!H93+'Admin-Board'!H93+'Admin-ED'!H93</f>
        <v>0</v>
      </c>
      <c r="I93" s="43">
        <f>'Admin-Gen'!I93+'Admin-Board'!I93+'Admin-ED'!I93</f>
        <v>0</v>
      </c>
      <c r="J93" s="25">
        <f>'Admin-Gen'!J93+'Admin-Board'!J93+'Admin-ED'!J93</f>
        <v>0</v>
      </c>
      <c r="K93" s="25">
        <f>'Admin-Gen'!K93+'Admin-Board'!K93+'Admin-ED'!K93</f>
        <v>0</v>
      </c>
      <c r="L93" s="25">
        <f>'Admin-Gen'!L93+'Admin-Board'!L93+'Admin-ED'!L93</f>
        <v>0</v>
      </c>
      <c r="M93" s="25">
        <f>'Admin-Gen'!M93+'Admin-Board'!M93+'Admin-ED'!M93</f>
        <v>0</v>
      </c>
      <c r="N93" s="25">
        <f>'Admin-Gen'!N93+'Admin-Board'!N93+'Admin-ED'!N93</f>
        <v>0</v>
      </c>
      <c r="O93" s="25">
        <f>'Admin-Gen'!O93+'Admin-Board'!O93+'Admin-ED'!O93</f>
        <v>0</v>
      </c>
      <c r="P93">
        <f t="shared" si="18"/>
        <v>0</v>
      </c>
    </row>
    <row r="94" spans="1:17" x14ac:dyDescent="0.3">
      <c r="A94" s="1"/>
      <c r="B94" s="2" t="s">
        <v>76</v>
      </c>
      <c r="D94" s="43">
        <f>'Admin-Gen'!D94+'Admin-Board'!D94+'Admin-ED'!D94</f>
        <v>480</v>
      </c>
      <c r="E94" s="43">
        <f>'Admin-Gen'!E94+'Admin-Board'!E94+'Admin-ED'!E94</f>
        <v>480</v>
      </c>
      <c r="F94" s="43">
        <f>'Admin-Gen'!F94+'Admin-Board'!F94+'Admin-ED'!F94</f>
        <v>480</v>
      </c>
      <c r="G94" s="43">
        <f>'Admin-Gen'!G94+'Admin-Board'!G94+'Admin-ED'!G94</f>
        <v>480</v>
      </c>
      <c r="H94" s="43">
        <f>'Admin-Gen'!H94+'Admin-Board'!H94+'Admin-ED'!H94</f>
        <v>480</v>
      </c>
      <c r="I94" s="43">
        <f>'Admin-Gen'!I94+'Admin-Board'!I94+'Admin-ED'!I94</f>
        <v>480</v>
      </c>
      <c r="J94" s="25">
        <f>'Admin-Gen'!J94+'Admin-Board'!J94+'Admin-ED'!J94</f>
        <v>480</v>
      </c>
      <c r="K94" s="25">
        <f>'Admin-Gen'!K94+'Admin-Board'!K94+'Admin-ED'!K94</f>
        <v>480</v>
      </c>
      <c r="L94" s="25">
        <f>'Admin-Gen'!L94+'Admin-Board'!L94+'Admin-ED'!L94</f>
        <v>480</v>
      </c>
      <c r="M94" s="25">
        <f>'Admin-Gen'!M94+'Admin-Board'!M94+'Admin-ED'!M94</f>
        <v>480</v>
      </c>
      <c r="N94" s="25">
        <f>'Admin-Gen'!N94+'Admin-Board'!N94+'Admin-ED'!N94</f>
        <v>480</v>
      </c>
      <c r="O94" s="25">
        <f>'Admin-Gen'!O94+'Admin-Board'!O94+'Admin-ED'!O94</f>
        <v>480</v>
      </c>
      <c r="P94">
        <f t="shared" si="18"/>
        <v>5760</v>
      </c>
    </row>
    <row r="95" spans="1:17" x14ac:dyDescent="0.3">
      <c r="A95" s="1"/>
      <c r="B95" s="2" t="s">
        <v>77</v>
      </c>
      <c r="D95" s="43">
        <f>'Admin-Gen'!D95+'Admin-Board'!D95+'Admin-ED'!D95</f>
        <v>0</v>
      </c>
      <c r="E95" s="43">
        <f>'Admin-Gen'!E95+'Admin-Board'!E95+'Admin-ED'!E95</f>
        <v>0</v>
      </c>
      <c r="F95" s="43">
        <f>'Admin-Gen'!F95+'Admin-Board'!F95+'Admin-ED'!F95</f>
        <v>0</v>
      </c>
      <c r="G95" s="43">
        <f>'Admin-Gen'!G95+'Admin-Board'!G95+'Admin-ED'!G95</f>
        <v>0</v>
      </c>
      <c r="H95" s="43">
        <f>'Admin-Gen'!H95+'Admin-Board'!H95+'Admin-ED'!H95</f>
        <v>0</v>
      </c>
      <c r="I95" s="43">
        <f>'Admin-Gen'!I95+'Admin-Board'!I95+'Admin-ED'!I95</f>
        <v>0</v>
      </c>
      <c r="J95" s="25">
        <f>'Admin-Gen'!J95+'Admin-Board'!J95+'Admin-ED'!J95</f>
        <v>0</v>
      </c>
      <c r="K95" s="25">
        <f>'Admin-Gen'!K95+'Admin-Board'!K95+'Admin-ED'!K95</f>
        <v>0</v>
      </c>
      <c r="L95" s="25">
        <f>'Admin-Gen'!L95+'Admin-Board'!L95+'Admin-ED'!L95</f>
        <v>0</v>
      </c>
      <c r="M95" s="25">
        <f>'Admin-Gen'!M95+'Admin-Board'!M95+'Admin-ED'!M95</f>
        <v>0</v>
      </c>
      <c r="N95" s="25">
        <f>'Admin-Gen'!N95+'Admin-Board'!N95+'Admin-ED'!N95</f>
        <v>0</v>
      </c>
      <c r="O95" s="25">
        <f>'Admin-Gen'!O95+'Admin-Board'!O95+'Admin-ED'!O95</f>
        <v>0</v>
      </c>
      <c r="P95">
        <f t="shared" si="18"/>
        <v>0</v>
      </c>
    </row>
    <row r="96" spans="1:17" x14ac:dyDescent="0.3">
      <c r="A96" s="1"/>
      <c r="B96" s="2" t="s">
        <v>78</v>
      </c>
      <c r="D96" s="43">
        <f>'Admin-Gen'!D96+'Admin-Board'!D96+'Admin-ED'!D96</f>
        <v>0</v>
      </c>
      <c r="E96" s="43">
        <f>'Admin-Gen'!E96+'Admin-Board'!E96+'Admin-ED'!E96</f>
        <v>0</v>
      </c>
      <c r="F96" s="43">
        <f>'Admin-Gen'!F96+'Admin-Board'!F96+'Admin-ED'!F96</f>
        <v>0</v>
      </c>
      <c r="G96" s="43">
        <f>'Admin-Gen'!G96+'Admin-Board'!G96+'Admin-ED'!G96</f>
        <v>0</v>
      </c>
      <c r="H96" s="43">
        <f>'Admin-Gen'!H96+'Admin-Board'!H96+'Admin-ED'!H96</f>
        <v>0</v>
      </c>
      <c r="I96" s="43">
        <f>'Admin-Gen'!I96+'Admin-Board'!I96+'Admin-ED'!I96</f>
        <v>0</v>
      </c>
      <c r="J96" s="25">
        <f>'Admin-Gen'!J96+'Admin-Board'!J96+'Admin-ED'!J96</f>
        <v>0</v>
      </c>
      <c r="K96" s="25">
        <f>'Admin-Gen'!K96+'Admin-Board'!K96+'Admin-ED'!K96</f>
        <v>0</v>
      </c>
      <c r="L96" s="25">
        <f>'Admin-Gen'!L96+'Admin-Board'!L96+'Admin-ED'!L96</f>
        <v>0</v>
      </c>
      <c r="M96" s="25">
        <f>'Admin-Gen'!M96+'Admin-Board'!M96+'Admin-ED'!M96</f>
        <v>0</v>
      </c>
      <c r="N96" s="25">
        <f>'Admin-Gen'!N96+'Admin-Board'!N96+'Admin-ED'!N96</f>
        <v>0</v>
      </c>
      <c r="O96" s="25">
        <f>'Admin-Gen'!O96+'Admin-Board'!O96+'Admin-ED'!O96</f>
        <v>0</v>
      </c>
      <c r="P96">
        <f t="shared" si="18"/>
        <v>0</v>
      </c>
    </row>
    <row r="97" spans="1:17" x14ac:dyDescent="0.3">
      <c r="A97" s="1"/>
      <c r="B97" s="2" t="s">
        <v>79</v>
      </c>
      <c r="D97" s="43">
        <f>'Admin-Gen'!D97+'Admin-Board'!D97+'Admin-ED'!D97</f>
        <v>0</v>
      </c>
      <c r="E97" s="43">
        <f>'Admin-Gen'!E97+'Admin-Board'!E97+'Admin-ED'!E97</f>
        <v>0</v>
      </c>
      <c r="F97" s="43">
        <f>'Admin-Gen'!F97+'Admin-Board'!F97+'Admin-ED'!F97</f>
        <v>0</v>
      </c>
      <c r="G97" s="43">
        <f>'Admin-Gen'!G97+'Admin-Board'!G97+'Admin-ED'!G97</f>
        <v>0</v>
      </c>
      <c r="H97" s="43">
        <f>'Admin-Gen'!H97+'Admin-Board'!H97+'Admin-ED'!H97</f>
        <v>0</v>
      </c>
      <c r="I97" s="43">
        <f>'Admin-Gen'!I97+'Admin-Board'!I97+'Admin-ED'!I97</f>
        <v>0</v>
      </c>
      <c r="J97" s="25">
        <f>'Admin-Gen'!J97+'Admin-Board'!J97+'Admin-ED'!J97</f>
        <v>0</v>
      </c>
      <c r="K97" s="25">
        <f>'Admin-Gen'!K97+'Admin-Board'!K97+'Admin-ED'!K97</f>
        <v>0</v>
      </c>
      <c r="L97" s="25">
        <f>'Admin-Gen'!L97+'Admin-Board'!L97+'Admin-ED'!L97</f>
        <v>0</v>
      </c>
      <c r="M97" s="25">
        <f>'Admin-Gen'!M97+'Admin-Board'!M97+'Admin-ED'!M97</f>
        <v>0</v>
      </c>
      <c r="N97" s="25">
        <f>'Admin-Gen'!N97+'Admin-Board'!N97+'Admin-ED'!N97</f>
        <v>0</v>
      </c>
      <c r="O97" s="25">
        <f>'Admin-Gen'!O97+'Admin-Board'!O97+'Admin-ED'!O97</f>
        <v>0</v>
      </c>
      <c r="P97">
        <f t="shared" si="18"/>
        <v>0</v>
      </c>
    </row>
    <row r="98" spans="1:17" x14ac:dyDescent="0.3">
      <c r="A98" s="1"/>
      <c r="B98" s="2" t="s">
        <v>80</v>
      </c>
      <c r="D98" s="43">
        <f>'Admin-Gen'!D98+'Admin-Board'!D98+'Admin-ED'!D98</f>
        <v>3028</v>
      </c>
      <c r="E98" s="43">
        <f>'Admin-Gen'!E98+'Admin-Board'!E98+'Admin-ED'!E98</f>
        <v>3028</v>
      </c>
      <c r="F98" s="43">
        <f>'Admin-Gen'!F98+'Admin-Board'!F98+'Admin-ED'!F98</f>
        <v>3028</v>
      </c>
      <c r="G98" s="43">
        <f>'Admin-Gen'!G98+'Admin-Board'!G98+'Admin-ED'!G98</f>
        <v>3028</v>
      </c>
      <c r="H98" s="43">
        <f>'Admin-Gen'!H98+'Admin-Board'!H98+'Admin-ED'!H98</f>
        <v>3028</v>
      </c>
      <c r="I98" s="43">
        <f>'Admin-Gen'!I98+'Admin-Board'!I98+'Admin-ED'!I98</f>
        <v>3028</v>
      </c>
      <c r="J98" s="25">
        <f>'Admin-Gen'!J98+'Admin-Board'!J98+'Admin-ED'!J98</f>
        <v>3028</v>
      </c>
      <c r="K98" s="25">
        <f>'Admin-Gen'!K98+'Admin-Board'!K98+'Admin-ED'!K98</f>
        <v>3118.84</v>
      </c>
      <c r="L98" s="25">
        <f>'Admin-Gen'!L98+'Admin-Board'!L98+'Admin-ED'!L98</f>
        <v>3118.84</v>
      </c>
      <c r="M98" s="25">
        <f>'Admin-Gen'!M98+'Admin-Board'!M98+'Admin-ED'!M98</f>
        <v>3118.84</v>
      </c>
      <c r="N98" s="25">
        <f>'Admin-Gen'!N98+'Admin-Board'!N98+'Admin-ED'!N98</f>
        <v>3118.84</v>
      </c>
      <c r="O98" s="25">
        <f>'Admin-Gen'!O98+'Admin-Board'!O98+'Admin-ED'!O98</f>
        <v>3118.84</v>
      </c>
      <c r="P98">
        <f t="shared" si="18"/>
        <v>36790.199999999997</v>
      </c>
    </row>
    <row r="99" spans="1:17" x14ac:dyDescent="0.3">
      <c r="A99" s="1"/>
      <c r="B99" s="2" t="s">
        <v>81</v>
      </c>
      <c r="D99" s="43">
        <f>'Admin-Gen'!D99+'Admin-Board'!D99+'Admin-ED'!D99</f>
        <v>300</v>
      </c>
      <c r="E99" s="43">
        <f>'Admin-Gen'!E99+'Admin-Board'!E99+'Admin-ED'!E99</f>
        <v>300</v>
      </c>
      <c r="F99" s="43">
        <f>'Admin-Gen'!F99+'Admin-Board'!F99+'Admin-ED'!F99</f>
        <v>300</v>
      </c>
      <c r="G99" s="43">
        <f>'Admin-Gen'!G99+'Admin-Board'!G99+'Admin-ED'!G99</f>
        <v>300</v>
      </c>
      <c r="H99" s="43">
        <f>'Admin-Gen'!H99+'Admin-Board'!H99+'Admin-ED'!H99</f>
        <v>300</v>
      </c>
      <c r="I99" s="43">
        <f>'Admin-Gen'!I99+'Admin-Board'!I99+'Admin-ED'!I99</f>
        <v>300</v>
      </c>
      <c r="J99" s="25">
        <f>'Admin-Gen'!J99+'Admin-Board'!J99+'Admin-ED'!J99</f>
        <v>300</v>
      </c>
      <c r="K99" s="25">
        <f>'Admin-Gen'!K99+'Admin-Board'!K99+'Admin-ED'!K99</f>
        <v>300</v>
      </c>
      <c r="L99" s="25">
        <f>'Admin-Gen'!L99+'Admin-Board'!L99+'Admin-ED'!L99</f>
        <v>300</v>
      </c>
      <c r="M99" s="25">
        <f>'Admin-Gen'!M99+'Admin-Board'!M99+'Admin-ED'!M99</f>
        <v>300</v>
      </c>
      <c r="N99" s="25">
        <f>'Admin-Gen'!N99+'Admin-Board'!N99+'Admin-ED'!N99</f>
        <v>300</v>
      </c>
      <c r="O99" s="25">
        <f>'Admin-Gen'!O99+'Admin-Board'!O99+'Admin-ED'!O99</f>
        <v>300</v>
      </c>
      <c r="P99">
        <f t="shared" si="18"/>
        <v>3600</v>
      </c>
    </row>
    <row r="100" spans="1:17" x14ac:dyDescent="0.3">
      <c r="A100" s="1"/>
      <c r="B100" s="2" t="s">
        <v>82</v>
      </c>
      <c r="D100" s="43">
        <f>'Admin-Gen'!D100+'Admin-Board'!D100+'Admin-ED'!D100</f>
        <v>0</v>
      </c>
      <c r="E100" s="43">
        <f>'Admin-Gen'!E100+'Admin-Board'!E100+'Admin-ED'!E100</f>
        <v>0</v>
      </c>
      <c r="F100" s="43">
        <f>'Admin-Gen'!F100+'Admin-Board'!F100+'Admin-ED'!F100</f>
        <v>0</v>
      </c>
      <c r="G100" s="43">
        <f>'Admin-Gen'!G100+'Admin-Board'!G100+'Admin-ED'!G100</f>
        <v>0</v>
      </c>
      <c r="H100" s="43">
        <f>'Admin-Gen'!H100+'Admin-Board'!H100+'Admin-ED'!H100</f>
        <v>0</v>
      </c>
      <c r="I100" s="43">
        <f>'Admin-Gen'!I100+'Admin-Board'!I100+'Admin-ED'!I100</f>
        <v>0</v>
      </c>
      <c r="J100" s="25">
        <f>'Admin-Gen'!J100+'Admin-Board'!J100+'Admin-ED'!J100</f>
        <v>0</v>
      </c>
      <c r="K100" s="25">
        <f>'Admin-Gen'!K100+'Admin-Board'!K100+'Admin-ED'!K100</f>
        <v>0</v>
      </c>
      <c r="L100" s="25">
        <f>'Admin-Gen'!L100+'Admin-Board'!L100+'Admin-ED'!L100</f>
        <v>0</v>
      </c>
      <c r="M100" s="25">
        <f>'Admin-Gen'!M100+'Admin-Board'!M100+'Admin-ED'!M100</f>
        <v>0</v>
      </c>
      <c r="N100" s="25">
        <f>'Admin-Gen'!N100+'Admin-Board'!N100+'Admin-ED'!N100</f>
        <v>0</v>
      </c>
      <c r="O100" s="25">
        <f>'Admin-Gen'!O100+'Admin-Board'!O100+'Admin-ED'!O100</f>
        <v>0</v>
      </c>
      <c r="P100">
        <f t="shared" si="18"/>
        <v>0</v>
      </c>
    </row>
    <row r="101" spans="1:17" x14ac:dyDescent="0.3">
      <c r="A101" s="1"/>
      <c r="B101" s="2" t="s">
        <v>83</v>
      </c>
      <c r="D101" s="43">
        <f>'Admin-Gen'!D101+'Admin-Board'!D101+'Admin-ED'!D101</f>
        <v>105000</v>
      </c>
      <c r="E101" s="43">
        <f>'Admin-Gen'!E101+'Admin-Board'!E101+'Admin-ED'!E101</f>
        <v>0</v>
      </c>
      <c r="F101" s="43">
        <f>'Admin-Gen'!F101+'Admin-Board'!F101+'Admin-ED'!F101</f>
        <v>0</v>
      </c>
      <c r="G101" s="43">
        <f>'Admin-Gen'!G101+'Admin-Board'!G101+'Admin-ED'!G101</f>
        <v>0</v>
      </c>
      <c r="H101" s="43">
        <f>'Admin-Gen'!H101+'Admin-Board'!H101+'Admin-ED'!H101</f>
        <v>0</v>
      </c>
      <c r="I101" s="43">
        <f>'Admin-Gen'!I101+'Admin-Board'!I101+'Admin-ED'!I101</f>
        <v>0</v>
      </c>
      <c r="J101" s="25">
        <f>'Admin-Gen'!J101+'Admin-Board'!J101+'Admin-ED'!J101</f>
        <v>0</v>
      </c>
      <c r="K101" s="25">
        <f>'Admin-Gen'!K101+'Admin-Board'!K101+'Admin-ED'!K101</f>
        <v>0</v>
      </c>
      <c r="L101" s="25">
        <f>'Admin-Gen'!L101+'Admin-Board'!L101+'Admin-ED'!L101</f>
        <v>0</v>
      </c>
      <c r="M101" s="25">
        <f>'Admin-Gen'!M101+'Admin-Board'!M101+'Admin-ED'!M101</f>
        <v>0</v>
      </c>
      <c r="N101" s="25">
        <f>'Admin-Gen'!N101+'Admin-Board'!N101+'Admin-ED'!N101</f>
        <v>0</v>
      </c>
      <c r="O101" s="25">
        <f>'Admin-Gen'!O101+'Admin-Board'!O101+'Admin-ED'!O101</f>
        <v>0</v>
      </c>
      <c r="P101">
        <f t="shared" si="18"/>
        <v>105000</v>
      </c>
    </row>
    <row r="102" spans="1:17" x14ac:dyDescent="0.3">
      <c r="A102" s="1"/>
      <c r="B102" s="1"/>
      <c r="D102" s="43">
        <f>'Admin-Gen'!D102+'Admin-Board'!D102+'Admin-ED'!D102</f>
        <v>0</v>
      </c>
      <c r="E102" s="43">
        <f>'Admin-Gen'!E102+'Admin-Board'!E102+'Admin-ED'!E102</f>
        <v>0</v>
      </c>
      <c r="F102" s="43">
        <f>'Admin-Gen'!F102+'Admin-Board'!F102+'Admin-ED'!F102</f>
        <v>0</v>
      </c>
      <c r="G102" s="43">
        <f>'Admin-Gen'!G102+'Admin-Board'!G102+'Admin-ED'!G102</f>
        <v>0</v>
      </c>
      <c r="H102" s="43">
        <f>'Admin-Gen'!H102+'Admin-Board'!H102+'Admin-ED'!H102</f>
        <v>0</v>
      </c>
      <c r="I102" s="43">
        <f>'Admin-Gen'!I102+'Admin-Board'!I102+'Admin-ED'!I102</f>
        <v>0</v>
      </c>
      <c r="J102" s="25">
        <f>'Admin-Gen'!J102+'Admin-Board'!J102+'Admin-ED'!J102</f>
        <v>0</v>
      </c>
      <c r="K102" s="25">
        <f>'Admin-Gen'!K102+'Admin-Board'!K102+'Admin-ED'!K102</f>
        <v>0</v>
      </c>
      <c r="L102" s="25">
        <f>'Admin-Gen'!L102+'Admin-Board'!L102+'Admin-ED'!L102</f>
        <v>0</v>
      </c>
      <c r="M102" s="25">
        <f>'Admin-Gen'!M102+'Admin-Board'!M102+'Admin-ED'!M102</f>
        <v>0</v>
      </c>
      <c r="N102" s="25">
        <f>'Admin-Gen'!N102+'Admin-Board'!N102+'Admin-ED'!N102</f>
        <v>0</v>
      </c>
      <c r="O102" s="25">
        <f>'Admin-Gen'!O102+'Admin-Board'!O102+'Admin-ED'!O102</f>
        <v>0</v>
      </c>
      <c r="P102">
        <f t="shared" si="18"/>
        <v>0</v>
      </c>
    </row>
    <row r="103" spans="1:17" x14ac:dyDescent="0.3">
      <c r="A103" s="1"/>
      <c r="B103" s="2"/>
      <c r="D103" s="43">
        <f>'Admin-Gen'!D103+'Admin-Board'!D103+'Admin-ED'!D103</f>
        <v>0</v>
      </c>
      <c r="E103" s="43">
        <f>'Admin-Gen'!E103+'Admin-Board'!E103+'Admin-ED'!E103</f>
        <v>0</v>
      </c>
      <c r="F103" s="43">
        <f>'Admin-Gen'!F103+'Admin-Board'!F103+'Admin-ED'!F103</f>
        <v>0</v>
      </c>
      <c r="G103" s="43">
        <f>'Admin-Gen'!G103+'Admin-Board'!G103+'Admin-ED'!G103</f>
        <v>0</v>
      </c>
      <c r="H103" s="43">
        <f>'Admin-Gen'!H103+'Admin-Board'!H103+'Admin-ED'!H103</f>
        <v>0</v>
      </c>
      <c r="I103" s="43">
        <f>'Admin-Gen'!I103+'Admin-Board'!I103+'Admin-ED'!I103</f>
        <v>0</v>
      </c>
      <c r="J103" s="25">
        <f>'Admin-Gen'!J103+'Admin-Board'!J103+'Admin-ED'!J103</f>
        <v>0</v>
      </c>
      <c r="K103" s="25">
        <f>'Admin-Gen'!K103+'Admin-Board'!K103+'Admin-ED'!K103</f>
        <v>0</v>
      </c>
      <c r="L103" s="25">
        <f>'Admin-Gen'!L103+'Admin-Board'!L103+'Admin-ED'!L103</f>
        <v>0</v>
      </c>
      <c r="M103" s="25">
        <f>'Admin-Gen'!M103+'Admin-Board'!M103+'Admin-ED'!M103</f>
        <v>0</v>
      </c>
      <c r="N103" s="25">
        <f>'Admin-Gen'!N103+'Admin-Board'!N103+'Admin-ED'!N103</f>
        <v>0</v>
      </c>
      <c r="O103" s="25">
        <f>'Admin-Gen'!O103+'Admin-Board'!O103+'Admin-ED'!O103</f>
        <v>0</v>
      </c>
      <c r="P103">
        <f t="shared" si="18"/>
        <v>0</v>
      </c>
    </row>
    <row r="104" spans="1:17" x14ac:dyDescent="0.3">
      <c r="A104" s="1"/>
      <c r="B104" s="2"/>
      <c r="D104" s="43">
        <f>'Admin-Gen'!D104+'Admin-Board'!D104+'Admin-ED'!D104</f>
        <v>0</v>
      </c>
      <c r="E104" s="43">
        <f>'Admin-Gen'!E104+'Admin-Board'!E104+'Admin-ED'!E104</f>
        <v>0</v>
      </c>
      <c r="F104" s="43">
        <f>'Admin-Gen'!F104+'Admin-Board'!F104+'Admin-ED'!F104</f>
        <v>0</v>
      </c>
      <c r="G104" s="43">
        <f>'Admin-Gen'!G104+'Admin-Board'!G104+'Admin-ED'!G104</f>
        <v>0</v>
      </c>
      <c r="H104" s="43">
        <f>'Admin-Gen'!H104+'Admin-Board'!H104+'Admin-ED'!H104</f>
        <v>0</v>
      </c>
      <c r="I104" s="43">
        <f>'Admin-Gen'!I104+'Admin-Board'!I104+'Admin-ED'!I104</f>
        <v>0</v>
      </c>
      <c r="J104" s="25">
        <f>'Admin-Gen'!J104+'Admin-Board'!J104+'Admin-ED'!J104</f>
        <v>0</v>
      </c>
      <c r="K104" s="25">
        <f>'Admin-Gen'!K104+'Admin-Board'!K104+'Admin-ED'!K104</f>
        <v>0</v>
      </c>
      <c r="L104" s="25">
        <f>'Admin-Gen'!L104+'Admin-Board'!L104+'Admin-ED'!L104</f>
        <v>0</v>
      </c>
      <c r="M104" s="25">
        <f>'Admin-Gen'!M104+'Admin-Board'!M104+'Admin-ED'!M104</f>
        <v>0</v>
      </c>
      <c r="N104" s="25">
        <f>'Admin-Gen'!N104+'Admin-Board'!N104+'Admin-ED'!N104</f>
        <v>0</v>
      </c>
      <c r="O104" s="25">
        <f>'Admin-Gen'!O104+'Admin-Board'!O104+'Admin-ED'!O104</f>
        <v>0</v>
      </c>
      <c r="P104">
        <f t="shared" si="18"/>
        <v>0</v>
      </c>
    </row>
    <row r="105" spans="1:17" x14ac:dyDescent="0.3">
      <c r="A105" s="195" t="s">
        <v>84</v>
      </c>
      <c r="B105" s="195"/>
      <c r="D105" s="5">
        <f t="shared" ref="D105:I105" si="19">SUM(D86:D104)</f>
        <v>111858</v>
      </c>
      <c r="E105" s="5">
        <f t="shared" si="19"/>
        <v>6858</v>
      </c>
      <c r="F105" s="5">
        <f t="shared" si="19"/>
        <v>6858</v>
      </c>
      <c r="G105" s="5">
        <f t="shared" si="19"/>
        <v>6858</v>
      </c>
      <c r="H105" s="5">
        <f t="shared" si="19"/>
        <v>6858</v>
      </c>
      <c r="I105" s="5">
        <f t="shared" si="19"/>
        <v>6858</v>
      </c>
      <c r="J105" s="5">
        <f t="shared" ref="J105:P105" si="20">SUM(J86:J104)</f>
        <v>6858</v>
      </c>
      <c r="K105" s="5">
        <f t="shared" si="20"/>
        <v>6948.84</v>
      </c>
      <c r="L105" s="5">
        <f t="shared" si="20"/>
        <v>6948.84</v>
      </c>
      <c r="M105" s="5">
        <f t="shared" si="20"/>
        <v>6948.84</v>
      </c>
      <c r="N105" s="5">
        <f t="shared" si="20"/>
        <v>6948.84</v>
      </c>
      <c r="O105" s="5">
        <f t="shared" si="20"/>
        <v>6948.84</v>
      </c>
      <c r="P105" s="5">
        <f t="shared" si="20"/>
        <v>187750.2</v>
      </c>
      <c r="Q105" s="8">
        <f>SUM(P86:P104)-P105</f>
        <v>0</v>
      </c>
    </row>
    <row r="106" spans="1:17" x14ac:dyDescent="0.3">
      <c r="A106" s="1"/>
      <c r="B106" s="2" t="s">
        <v>85</v>
      </c>
      <c r="D106" s="5">
        <f t="shared" ref="D106:I106" si="21">D105+D84+D53+D43</f>
        <v>149025.78968178018</v>
      </c>
      <c r="E106" s="5">
        <f t="shared" si="21"/>
        <v>44025.789681780181</v>
      </c>
      <c r="F106" s="5">
        <f t="shared" si="21"/>
        <v>56730.10118933695</v>
      </c>
      <c r="G106" s="5">
        <f t="shared" si="21"/>
        <v>52525.789681780181</v>
      </c>
      <c r="H106" s="5">
        <f t="shared" si="21"/>
        <v>50550.789681780181</v>
      </c>
      <c r="I106" s="5">
        <f t="shared" si="21"/>
        <v>45100.789681780181</v>
      </c>
      <c r="J106" s="5">
        <f t="shared" ref="J106:P106" si="22">J105+J84+J53+J43</f>
        <v>44025.789681780181</v>
      </c>
      <c r="K106" s="5">
        <f t="shared" si="22"/>
        <v>55995.941189336954</v>
      </c>
      <c r="L106" s="5">
        <f t="shared" si="22"/>
        <v>44191.629681780192</v>
      </c>
      <c r="M106" s="5">
        <f t="shared" si="22"/>
        <v>44116.629681780192</v>
      </c>
      <c r="N106" s="5">
        <f t="shared" si="22"/>
        <v>44116.629681780192</v>
      </c>
      <c r="O106" s="5">
        <f t="shared" si="22"/>
        <v>44191.629681780192</v>
      </c>
      <c r="P106" s="5">
        <f t="shared" si="22"/>
        <v>674597.29919647577</v>
      </c>
    </row>
    <row r="107" spans="1:17" x14ac:dyDescent="0.3">
      <c r="A107" s="1"/>
      <c r="B107" s="2" t="s">
        <v>86</v>
      </c>
      <c r="D107" s="42"/>
      <c r="E107" s="42"/>
      <c r="F107" s="42"/>
      <c r="G107" s="42"/>
      <c r="H107" s="42"/>
      <c r="I107" s="42"/>
    </row>
    <row r="108" spans="1:17" x14ac:dyDescent="0.3">
      <c r="D108" s="42"/>
      <c r="E108" s="42"/>
      <c r="F108" s="42"/>
      <c r="G108" s="42"/>
      <c r="H108" s="42"/>
      <c r="I108" s="42"/>
    </row>
    <row r="109" spans="1:17" ht="15" thickBot="1" x14ac:dyDescent="0.35">
      <c r="B109" t="s">
        <v>112</v>
      </c>
      <c r="D109" s="7">
        <f t="shared" ref="D109:I109" si="23">D32-D106-D107</f>
        <v>-148700.78968178018</v>
      </c>
      <c r="E109" s="7">
        <f t="shared" si="23"/>
        <v>-43700.789681780181</v>
      </c>
      <c r="F109" s="7">
        <f t="shared" si="23"/>
        <v>-56405.10118933695</v>
      </c>
      <c r="G109" s="7">
        <f t="shared" si="23"/>
        <v>-52200.789681780181</v>
      </c>
      <c r="H109" s="7">
        <f t="shared" si="23"/>
        <v>-50225.789681780181</v>
      </c>
      <c r="I109" s="7">
        <f t="shared" si="23"/>
        <v>-44775.789681780181</v>
      </c>
      <c r="J109" s="7">
        <f t="shared" ref="J109:P109" si="24">J32-J106-J107</f>
        <v>-43700.789681780181</v>
      </c>
      <c r="K109" s="7">
        <f t="shared" si="24"/>
        <v>-55670.941189336954</v>
      </c>
      <c r="L109" s="7">
        <f t="shared" si="24"/>
        <v>-43866.629681780192</v>
      </c>
      <c r="M109" s="7">
        <f t="shared" si="24"/>
        <v>-43791.629681780192</v>
      </c>
      <c r="N109" s="7">
        <f t="shared" si="24"/>
        <v>-43791.629681780192</v>
      </c>
      <c r="O109" s="7">
        <f t="shared" si="24"/>
        <v>-43866.629681780192</v>
      </c>
      <c r="P109" s="7">
        <f t="shared" si="24"/>
        <v>-670697.29919647577</v>
      </c>
    </row>
    <row r="110" spans="1:17" ht="15" thickTop="1" x14ac:dyDescent="0.3"/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T110"/>
  <sheetViews>
    <sheetView workbookViewId="0">
      <pane xSplit="3" ySplit="3" topLeftCell="D33" activePane="bottomRight" state="frozen"/>
      <selection pane="topRight" activeCell="D1" sqref="D1"/>
      <selection pane="bottomLeft" activeCell="A4" sqref="A4"/>
      <selection pane="bottomRight" activeCell="D38" sqref="D38:O38"/>
    </sheetView>
  </sheetViews>
  <sheetFormatPr defaultRowHeight="14.4" x14ac:dyDescent="0.3"/>
  <cols>
    <col min="2" max="2" width="31.109375" customWidth="1"/>
    <col min="3" max="3" width="1.44140625" customWidth="1"/>
    <col min="4" max="4" width="11.44140625" style="43" bestFit="1" customWidth="1"/>
    <col min="5" max="15" width="9.88671875" style="43" bestFit="1" customWidth="1"/>
    <col min="16" max="16" width="10.88671875" style="43" bestFit="1" customWidth="1"/>
  </cols>
  <sheetData>
    <row r="1" spans="1:17" x14ac:dyDescent="0.3">
      <c r="A1" s="23"/>
      <c r="B1" s="23"/>
      <c r="C1" s="23"/>
      <c r="Q1" s="23"/>
    </row>
    <row r="2" spans="1:17" x14ac:dyDescent="0.3">
      <c r="A2" s="23"/>
      <c r="B2" s="23"/>
      <c r="C2" s="23"/>
      <c r="Q2" s="23"/>
    </row>
    <row r="3" spans="1:17" x14ac:dyDescent="0.3">
      <c r="A3" s="23"/>
      <c r="B3" s="23"/>
      <c r="C3" s="23"/>
      <c r="D3" s="54" t="s">
        <v>100</v>
      </c>
      <c r="E3" s="54" t="s">
        <v>101</v>
      </c>
      <c r="F3" s="54" t="s">
        <v>102</v>
      </c>
      <c r="G3" s="54" t="s">
        <v>103</v>
      </c>
      <c r="H3" s="54" t="s">
        <v>104</v>
      </c>
      <c r="I3" s="54" t="s">
        <v>105</v>
      </c>
      <c r="J3" s="54" t="s">
        <v>106</v>
      </c>
      <c r="K3" s="54" t="s">
        <v>107</v>
      </c>
      <c r="L3" s="54" t="s">
        <v>108</v>
      </c>
      <c r="M3" s="54" t="s">
        <v>109</v>
      </c>
      <c r="N3" s="54" t="s">
        <v>110</v>
      </c>
      <c r="O3" s="54" t="s">
        <v>111</v>
      </c>
      <c r="P3" s="9" t="s">
        <v>113</v>
      </c>
      <c r="Q3" s="23"/>
    </row>
    <row r="4" spans="1:17" x14ac:dyDescent="0.3">
      <c r="A4" s="195" t="s">
        <v>99</v>
      </c>
      <c r="B4" s="195"/>
      <c r="C4" s="23"/>
      <c r="Q4" s="23"/>
    </row>
    <row r="5" spans="1:17" x14ac:dyDescent="0.3">
      <c r="A5" s="195" t="s">
        <v>1</v>
      </c>
      <c r="B5" s="195"/>
      <c r="C5" s="23"/>
      <c r="Q5" s="23"/>
    </row>
    <row r="6" spans="1:17" x14ac:dyDescent="0.3">
      <c r="A6" s="1"/>
      <c r="B6" s="94" t="s">
        <v>2</v>
      </c>
      <c r="C6" s="23"/>
      <c r="P6" s="43">
        <f>SUM(D6:O6)</f>
        <v>0</v>
      </c>
      <c r="Q6" s="23"/>
    </row>
    <row r="7" spans="1:17" x14ac:dyDescent="0.3">
      <c r="A7" s="1"/>
      <c r="B7" s="94" t="s">
        <v>204</v>
      </c>
      <c r="C7" s="23"/>
      <c r="P7" s="43">
        <f>SUM(D7:O7)</f>
        <v>0</v>
      </c>
      <c r="Q7" s="23"/>
    </row>
    <row r="8" spans="1:17" s="42" customFormat="1" x14ac:dyDescent="0.3">
      <c r="A8" s="1"/>
      <c r="B8" s="94" t="s">
        <v>205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7" x14ac:dyDescent="0.3">
      <c r="A9" s="1"/>
      <c r="B9" s="94" t="s">
        <v>4</v>
      </c>
      <c r="C9" s="23"/>
      <c r="P9" s="43">
        <f>SUM(D9:O9)</f>
        <v>0</v>
      </c>
      <c r="Q9" s="23"/>
    </row>
    <row r="10" spans="1:17" s="42" customFormat="1" x14ac:dyDescent="0.3">
      <c r="A10" s="1"/>
      <c r="B10" s="94" t="s">
        <v>206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7" x14ac:dyDescent="0.3">
      <c r="A11" s="1"/>
      <c r="B11" s="94" t="s">
        <v>207</v>
      </c>
      <c r="C11" s="23"/>
      <c r="P11" s="43">
        <f>SUM(D11:O11)</f>
        <v>0</v>
      </c>
      <c r="Q11" s="23"/>
    </row>
    <row r="12" spans="1:17" x14ac:dyDescent="0.3">
      <c r="A12" s="195" t="s">
        <v>6</v>
      </c>
      <c r="B12" s="195"/>
      <c r="C12" s="23"/>
      <c r="D12" s="28">
        <f>SUM(D6:D11)</f>
        <v>0</v>
      </c>
      <c r="E12" s="28">
        <f t="shared" ref="E12:P12" si="0">SUM(E6:E11)</f>
        <v>0</v>
      </c>
      <c r="F12" s="28">
        <f t="shared" si="0"/>
        <v>0</v>
      </c>
      <c r="G12" s="28">
        <f t="shared" si="0"/>
        <v>0</v>
      </c>
      <c r="H12" s="28">
        <f t="shared" si="0"/>
        <v>0</v>
      </c>
      <c r="I12" s="28">
        <f t="shared" si="0"/>
        <v>0</v>
      </c>
      <c r="J12" s="28">
        <f t="shared" si="0"/>
        <v>0</v>
      </c>
      <c r="K12" s="28">
        <f t="shared" si="0"/>
        <v>0</v>
      </c>
      <c r="L12" s="28">
        <f t="shared" si="0"/>
        <v>0</v>
      </c>
      <c r="M12" s="28">
        <f t="shared" si="0"/>
        <v>0</v>
      </c>
      <c r="N12" s="28">
        <f t="shared" si="0"/>
        <v>0</v>
      </c>
      <c r="O12" s="28">
        <f t="shared" si="0"/>
        <v>0</v>
      </c>
      <c r="P12" s="28">
        <f t="shared" si="0"/>
        <v>0</v>
      </c>
      <c r="Q12" s="8">
        <f>P12-P6-P7-P9-P11</f>
        <v>0</v>
      </c>
    </row>
    <row r="13" spans="1:17" x14ac:dyDescent="0.3">
      <c r="A13" s="195" t="s">
        <v>7</v>
      </c>
      <c r="B13" s="195"/>
      <c r="C13" s="23"/>
      <c r="Q13" s="23"/>
    </row>
    <row r="14" spans="1:17" x14ac:dyDescent="0.3">
      <c r="A14" s="1"/>
      <c r="B14" s="35" t="s">
        <v>8</v>
      </c>
      <c r="C14" s="23"/>
      <c r="P14" s="43">
        <f>SUM(D14:O14)</f>
        <v>0</v>
      </c>
      <c r="Q14" s="23"/>
    </row>
    <row r="15" spans="1:17" x14ac:dyDescent="0.3">
      <c r="A15" s="1"/>
      <c r="B15" s="35" t="s">
        <v>9</v>
      </c>
      <c r="C15" s="23"/>
      <c r="P15" s="43">
        <f>SUM(D15:O15)</f>
        <v>0</v>
      </c>
      <c r="Q15" s="23"/>
    </row>
    <row r="16" spans="1:17" x14ac:dyDescent="0.3">
      <c r="A16" s="1"/>
      <c r="B16" s="35" t="s">
        <v>3</v>
      </c>
      <c r="C16" s="23"/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f>SUM(D16:O16)</f>
        <v>0</v>
      </c>
      <c r="Q16" s="23"/>
    </row>
    <row r="17" spans="1:17" x14ac:dyDescent="0.3">
      <c r="A17" s="1"/>
      <c r="B17" s="1"/>
      <c r="C17" s="23"/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f>SUM(D17:O17)</f>
        <v>0</v>
      </c>
      <c r="Q17" s="23"/>
    </row>
    <row r="18" spans="1:17" x14ac:dyDescent="0.3">
      <c r="A18" s="195" t="s">
        <v>10</v>
      </c>
      <c r="B18" s="195"/>
      <c r="C18" s="23"/>
      <c r="D18" s="28">
        <f>SUM(D14:D17)</f>
        <v>0</v>
      </c>
      <c r="E18" s="28">
        <f t="shared" ref="E18:P18" si="1">SUM(E14:E17)</f>
        <v>0</v>
      </c>
      <c r="F18" s="28">
        <f t="shared" si="1"/>
        <v>0</v>
      </c>
      <c r="G18" s="28">
        <f t="shared" si="1"/>
        <v>0</v>
      </c>
      <c r="H18" s="28">
        <f t="shared" si="1"/>
        <v>0</v>
      </c>
      <c r="I18" s="28">
        <f t="shared" si="1"/>
        <v>0</v>
      </c>
      <c r="J18" s="28">
        <f t="shared" si="1"/>
        <v>0</v>
      </c>
      <c r="K18" s="28">
        <f t="shared" si="1"/>
        <v>0</v>
      </c>
      <c r="L18" s="28">
        <f t="shared" si="1"/>
        <v>0</v>
      </c>
      <c r="M18" s="28">
        <f t="shared" si="1"/>
        <v>0</v>
      </c>
      <c r="N18" s="28">
        <f t="shared" si="1"/>
        <v>0</v>
      </c>
      <c r="O18" s="28">
        <f t="shared" si="1"/>
        <v>0</v>
      </c>
      <c r="P18" s="28">
        <f t="shared" si="1"/>
        <v>0</v>
      </c>
      <c r="Q18" s="8">
        <f>P18-P14-P15-P16-P17</f>
        <v>0</v>
      </c>
    </row>
    <row r="19" spans="1:17" x14ac:dyDescent="0.3">
      <c r="A19" s="195" t="s">
        <v>11</v>
      </c>
      <c r="B19" s="195"/>
      <c r="C19" s="23"/>
      <c r="Q19" s="23"/>
    </row>
    <row r="20" spans="1:17" x14ac:dyDescent="0.3">
      <c r="A20" s="1"/>
      <c r="B20" s="35" t="s">
        <v>12</v>
      </c>
      <c r="C20" s="23"/>
      <c r="P20" s="43">
        <f t="shared" ref="P20:P25" si="2">SUM(D20:O20)</f>
        <v>0</v>
      </c>
      <c r="Q20" s="23"/>
    </row>
    <row r="21" spans="1:17" x14ac:dyDescent="0.3">
      <c r="A21" s="1"/>
      <c r="B21" s="35" t="s">
        <v>96</v>
      </c>
      <c r="C21" s="23"/>
      <c r="P21" s="43">
        <f t="shared" si="2"/>
        <v>0</v>
      </c>
      <c r="Q21" s="23"/>
    </row>
    <row r="22" spans="1:17" x14ac:dyDescent="0.3">
      <c r="A22" s="1"/>
      <c r="B22" s="35" t="s">
        <v>97</v>
      </c>
      <c r="C22" s="23"/>
      <c r="P22" s="43">
        <f t="shared" si="2"/>
        <v>0</v>
      </c>
      <c r="Q22" s="23"/>
    </row>
    <row r="23" spans="1:17" x14ac:dyDescent="0.3">
      <c r="A23" s="1"/>
      <c r="B23" s="35" t="s">
        <v>13</v>
      </c>
      <c r="C23" s="23"/>
      <c r="P23" s="43">
        <f t="shared" si="2"/>
        <v>0</v>
      </c>
      <c r="Q23" s="23"/>
    </row>
    <row r="24" spans="1:17" x14ac:dyDescent="0.3">
      <c r="A24" s="1"/>
      <c r="B24" s="35" t="s">
        <v>14</v>
      </c>
      <c r="C24" s="23"/>
      <c r="P24" s="43">
        <f t="shared" si="2"/>
        <v>0</v>
      </c>
      <c r="Q24" s="23"/>
    </row>
    <row r="25" spans="1:17" x14ac:dyDescent="0.3">
      <c r="A25" s="1"/>
      <c r="B25" s="1"/>
      <c r="C25" s="23"/>
      <c r="P25" s="43">
        <f t="shared" si="2"/>
        <v>0</v>
      </c>
      <c r="Q25" s="23"/>
    </row>
    <row r="26" spans="1:17" x14ac:dyDescent="0.3">
      <c r="A26" s="195" t="s">
        <v>15</v>
      </c>
      <c r="B26" s="195"/>
      <c r="C26" s="23"/>
      <c r="D26" s="28">
        <f>SUM(D20:D25)</f>
        <v>0</v>
      </c>
      <c r="E26" s="28">
        <f t="shared" ref="E26:P26" si="3">SUM(E20:E25)</f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0</v>
      </c>
      <c r="K26" s="28">
        <f t="shared" si="3"/>
        <v>0</v>
      </c>
      <c r="L26" s="28">
        <f t="shared" si="3"/>
        <v>0</v>
      </c>
      <c r="M26" s="28">
        <f t="shared" si="3"/>
        <v>0</v>
      </c>
      <c r="N26" s="28">
        <f t="shared" si="3"/>
        <v>0</v>
      </c>
      <c r="O26" s="28">
        <f t="shared" si="3"/>
        <v>0</v>
      </c>
      <c r="P26" s="28">
        <f t="shared" si="3"/>
        <v>0</v>
      </c>
      <c r="Q26" s="8">
        <f>SUM(P20:P25)-P26</f>
        <v>0</v>
      </c>
    </row>
    <row r="27" spans="1:17" x14ac:dyDescent="0.3">
      <c r="A27" s="195" t="s">
        <v>16</v>
      </c>
      <c r="B27" s="195"/>
      <c r="C27" s="23"/>
      <c r="Q27" s="23"/>
    </row>
    <row r="28" spans="1:17" x14ac:dyDescent="0.3">
      <c r="A28" s="35" t="s">
        <v>17</v>
      </c>
      <c r="B28" s="35" t="s">
        <v>18</v>
      </c>
      <c r="C28" s="23"/>
      <c r="P28" s="43">
        <f>SUM(D28:O28)</f>
        <v>0</v>
      </c>
      <c r="Q28" s="23"/>
    </row>
    <row r="29" spans="1:17" x14ac:dyDescent="0.3">
      <c r="A29" s="35" t="s">
        <v>17</v>
      </c>
      <c r="B29" s="35" t="s">
        <v>19</v>
      </c>
      <c r="C29" s="23"/>
      <c r="D29" s="43">
        <v>175</v>
      </c>
      <c r="E29" s="43">
        <v>175</v>
      </c>
      <c r="F29" s="43">
        <v>175</v>
      </c>
      <c r="G29" s="43">
        <v>175</v>
      </c>
      <c r="H29" s="43">
        <v>175</v>
      </c>
      <c r="I29" s="43">
        <v>175</v>
      </c>
      <c r="J29" s="43">
        <v>175</v>
      </c>
      <c r="K29" s="43">
        <v>175</v>
      </c>
      <c r="L29" s="43">
        <v>175</v>
      </c>
      <c r="M29" s="43">
        <v>175</v>
      </c>
      <c r="N29" s="43">
        <v>175</v>
      </c>
      <c r="O29" s="43">
        <v>175</v>
      </c>
      <c r="P29" s="43">
        <f>SUM(D29:O29)</f>
        <v>2100</v>
      </c>
      <c r="Q29" s="23"/>
    </row>
    <row r="30" spans="1:17" x14ac:dyDescent="0.3">
      <c r="A30" s="35" t="s">
        <v>17</v>
      </c>
      <c r="B30" s="35" t="s">
        <v>20</v>
      </c>
      <c r="C30" s="23"/>
      <c r="D30" s="43">
        <v>150</v>
      </c>
      <c r="E30" s="43">
        <v>150</v>
      </c>
      <c r="F30" s="43">
        <v>150</v>
      </c>
      <c r="G30" s="43">
        <v>150</v>
      </c>
      <c r="H30" s="43">
        <v>150</v>
      </c>
      <c r="I30" s="43">
        <v>150</v>
      </c>
      <c r="J30" s="43">
        <v>150</v>
      </c>
      <c r="K30" s="43">
        <v>150</v>
      </c>
      <c r="L30" s="43">
        <v>150</v>
      </c>
      <c r="M30" s="43">
        <v>150</v>
      </c>
      <c r="N30" s="43">
        <v>150</v>
      </c>
      <c r="O30" s="43">
        <v>150</v>
      </c>
      <c r="P30" s="43">
        <f>SUM(D30:O30)</f>
        <v>1800</v>
      </c>
      <c r="Q30" s="23"/>
    </row>
    <row r="31" spans="1:17" x14ac:dyDescent="0.3">
      <c r="A31" s="35" t="s">
        <v>17</v>
      </c>
      <c r="B31" s="35" t="s">
        <v>21</v>
      </c>
      <c r="C31" s="23"/>
      <c r="P31" s="43">
        <f>SUM(D31:O31)</f>
        <v>0</v>
      </c>
      <c r="Q31" s="23"/>
    </row>
    <row r="32" spans="1:17" x14ac:dyDescent="0.3">
      <c r="A32" s="1"/>
      <c r="B32" s="1"/>
      <c r="C32" s="23"/>
      <c r="D32" s="30">
        <f>D12+D18+D26+D28+D29+D30+D31</f>
        <v>325</v>
      </c>
      <c r="E32" s="30">
        <f t="shared" ref="E32:P32" si="4">E12+E18+E26+E28+E29+E30+E31</f>
        <v>325</v>
      </c>
      <c r="F32" s="30">
        <f t="shared" si="4"/>
        <v>325</v>
      </c>
      <c r="G32" s="30">
        <f t="shared" si="4"/>
        <v>325</v>
      </c>
      <c r="H32" s="30">
        <f t="shared" si="4"/>
        <v>325</v>
      </c>
      <c r="I32" s="30">
        <f t="shared" si="4"/>
        <v>325</v>
      </c>
      <c r="J32" s="30">
        <f t="shared" si="4"/>
        <v>325</v>
      </c>
      <c r="K32" s="30">
        <f t="shared" si="4"/>
        <v>325</v>
      </c>
      <c r="L32" s="30">
        <f t="shared" si="4"/>
        <v>325</v>
      </c>
      <c r="M32" s="30">
        <f t="shared" si="4"/>
        <v>325</v>
      </c>
      <c r="N32" s="30">
        <f t="shared" si="4"/>
        <v>325</v>
      </c>
      <c r="O32" s="30">
        <f t="shared" si="4"/>
        <v>325</v>
      </c>
      <c r="P32" s="30">
        <f t="shared" si="4"/>
        <v>3900</v>
      </c>
      <c r="Q32" s="8">
        <f>SUM(P28:P31)*P32</f>
        <v>15210000</v>
      </c>
    </row>
    <row r="33" spans="1:17" x14ac:dyDescent="0.3">
      <c r="A33" s="1"/>
      <c r="B33" s="1"/>
      <c r="C33" s="23"/>
      <c r="Q33" s="23"/>
    </row>
    <row r="34" spans="1:17" x14ac:dyDescent="0.3">
      <c r="A34" s="195" t="s">
        <v>22</v>
      </c>
      <c r="B34" s="195"/>
      <c r="C34" s="23"/>
      <c r="Q34" s="23"/>
    </row>
    <row r="35" spans="1:17" x14ac:dyDescent="0.3">
      <c r="A35" s="1"/>
      <c r="B35" s="35" t="s">
        <v>23</v>
      </c>
      <c r="C35" s="23"/>
      <c r="D35" s="43">
        <f>Sheet22!I10</f>
        <v>19054.901519999999</v>
      </c>
      <c r="E35" s="43">
        <f>Sheet22!J10</f>
        <v>19054.901519999999</v>
      </c>
      <c r="F35" s="43">
        <f>Sheet22!K10</f>
        <v>28582.352279999999</v>
      </c>
      <c r="G35" s="43">
        <f>Sheet22!L10</f>
        <v>19054.901519999999</v>
      </c>
      <c r="H35" s="43">
        <f>Sheet22!M10</f>
        <v>19054.901519999999</v>
      </c>
      <c r="I35" s="43">
        <f>Sheet22!N10</f>
        <v>19054.901519999999</v>
      </c>
      <c r="J35" s="43">
        <f>Sheet22!O10</f>
        <v>19054.901519999999</v>
      </c>
      <c r="K35" s="43">
        <f>Sheet22!P10</f>
        <v>28582.352279999999</v>
      </c>
      <c r="L35" s="43">
        <f>Sheet22!Q10</f>
        <v>19054.901519999999</v>
      </c>
      <c r="M35" s="43">
        <f>Sheet22!R10</f>
        <v>19054.901519999999</v>
      </c>
      <c r="N35" s="43">
        <f>Sheet22!S10</f>
        <v>19054.901519999999</v>
      </c>
      <c r="O35" s="43">
        <f>Sheet22!T10</f>
        <v>19054.901519999999</v>
      </c>
      <c r="P35" s="43">
        <f t="shared" ref="P35:P42" si="5">SUM(D35:O35)</f>
        <v>247713.71976000001</v>
      </c>
      <c r="Q35" s="23"/>
    </row>
    <row r="36" spans="1:17" x14ac:dyDescent="0.3">
      <c r="A36" s="1"/>
      <c r="B36" s="35" t="s">
        <v>24</v>
      </c>
      <c r="C36" s="23"/>
      <c r="D36" s="43">
        <f>D35*0.0735</f>
        <v>1400.5352617199999</v>
      </c>
      <c r="E36" s="43">
        <f t="shared" ref="E36:O36" si="6">E35*0.0735</f>
        <v>1400.5352617199999</v>
      </c>
      <c r="F36" s="43">
        <f t="shared" si="6"/>
        <v>2100.8028925799999</v>
      </c>
      <c r="G36" s="43">
        <f t="shared" si="6"/>
        <v>1400.5352617199999</v>
      </c>
      <c r="H36" s="43">
        <f t="shared" si="6"/>
        <v>1400.5352617199999</v>
      </c>
      <c r="I36" s="43">
        <f t="shared" si="6"/>
        <v>1400.5352617199999</v>
      </c>
      <c r="J36" s="43">
        <f t="shared" si="6"/>
        <v>1400.5352617199999</v>
      </c>
      <c r="K36" s="43">
        <f t="shared" si="6"/>
        <v>2100.8028925799999</v>
      </c>
      <c r="L36" s="43">
        <f t="shared" si="6"/>
        <v>1400.5352617199999</v>
      </c>
      <c r="M36" s="43">
        <f t="shared" si="6"/>
        <v>1400.5352617199999</v>
      </c>
      <c r="N36" s="43">
        <f t="shared" si="6"/>
        <v>1400.5352617199999</v>
      </c>
      <c r="O36" s="43">
        <f t="shared" si="6"/>
        <v>1400.5352617199999</v>
      </c>
      <c r="P36" s="43">
        <f t="shared" si="5"/>
        <v>18206.958402360004</v>
      </c>
      <c r="Q36" s="23"/>
    </row>
    <row r="37" spans="1:17" x14ac:dyDescent="0.3">
      <c r="A37" s="1"/>
      <c r="B37" s="35" t="s">
        <v>25</v>
      </c>
      <c r="C37" s="23"/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f t="shared" si="5"/>
        <v>0</v>
      </c>
      <c r="Q37" s="23"/>
    </row>
    <row r="38" spans="1:17" x14ac:dyDescent="0.3">
      <c r="A38" s="1"/>
      <c r="B38" s="35" t="s">
        <v>26</v>
      </c>
      <c r="C38" s="23"/>
      <c r="D38" s="43">
        <f>D35*0.120421</f>
        <v>2294.61029593992</v>
      </c>
      <c r="E38" s="43">
        <f t="shared" ref="E38:O38" si="7">E35*0.120421</f>
        <v>2294.61029593992</v>
      </c>
      <c r="F38" s="43">
        <f t="shared" si="7"/>
        <v>3441.9154439098797</v>
      </c>
      <c r="G38" s="43">
        <f t="shared" si="7"/>
        <v>2294.61029593992</v>
      </c>
      <c r="H38" s="43">
        <f t="shared" si="7"/>
        <v>2294.61029593992</v>
      </c>
      <c r="I38" s="43">
        <f t="shared" si="7"/>
        <v>2294.61029593992</v>
      </c>
      <c r="J38" s="43">
        <f t="shared" si="7"/>
        <v>2294.61029593992</v>
      </c>
      <c r="K38" s="43">
        <f t="shared" si="7"/>
        <v>3441.9154439098797</v>
      </c>
      <c r="L38" s="43">
        <f t="shared" si="7"/>
        <v>2294.61029593992</v>
      </c>
      <c r="M38" s="43">
        <f t="shared" si="7"/>
        <v>2294.61029593992</v>
      </c>
      <c r="N38" s="43">
        <f t="shared" si="7"/>
        <v>2294.61029593992</v>
      </c>
      <c r="O38" s="43">
        <f t="shared" si="7"/>
        <v>2294.61029593992</v>
      </c>
      <c r="P38" s="43">
        <f t="shared" si="5"/>
        <v>29829.933847218963</v>
      </c>
      <c r="Q38" s="23"/>
    </row>
    <row r="39" spans="1:17" x14ac:dyDescent="0.3">
      <c r="A39" s="1"/>
      <c r="B39" s="35" t="s">
        <v>27</v>
      </c>
      <c r="C39" s="23"/>
      <c r="D39" s="43">
        <f>D35*0.0112</f>
        <v>213.414897024</v>
      </c>
      <c r="E39" s="43">
        <f t="shared" ref="E39:O39" si="8">E35*0.0112</f>
        <v>213.414897024</v>
      </c>
      <c r="F39" s="43">
        <f t="shared" si="8"/>
        <v>320.12234553600001</v>
      </c>
      <c r="G39" s="43">
        <f t="shared" si="8"/>
        <v>213.414897024</v>
      </c>
      <c r="H39" s="43">
        <f t="shared" si="8"/>
        <v>213.414897024</v>
      </c>
      <c r="I39" s="43">
        <f t="shared" si="8"/>
        <v>213.414897024</v>
      </c>
      <c r="J39" s="43">
        <f t="shared" si="8"/>
        <v>213.414897024</v>
      </c>
      <c r="K39" s="43">
        <f t="shared" si="8"/>
        <v>320.12234553600001</v>
      </c>
      <c r="L39" s="43">
        <f t="shared" si="8"/>
        <v>213.414897024</v>
      </c>
      <c r="M39" s="43">
        <f t="shared" si="8"/>
        <v>213.414897024</v>
      </c>
      <c r="N39" s="43">
        <f t="shared" si="8"/>
        <v>213.414897024</v>
      </c>
      <c r="O39" s="43">
        <f t="shared" si="8"/>
        <v>213.414897024</v>
      </c>
      <c r="P39" s="43">
        <f t="shared" si="5"/>
        <v>2774.3936613119995</v>
      </c>
      <c r="Q39" s="23"/>
    </row>
    <row r="40" spans="1:17" x14ac:dyDescent="0.3">
      <c r="A40" s="1"/>
      <c r="B40" s="35" t="s">
        <v>28</v>
      </c>
      <c r="C40" s="23"/>
      <c r="D40" s="43">
        <f>D35*0.028</f>
        <v>533.53724255999998</v>
      </c>
      <c r="E40" s="43">
        <f t="shared" ref="E40:O40" si="9">E35*0.028</f>
        <v>533.53724255999998</v>
      </c>
      <c r="F40" s="43">
        <f t="shared" si="9"/>
        <v>800.30586384000003</v>
      </c>
      <c r="G40" s="43">
        <f t="shared" si="9"/>
        <v>533.53724255999998</v>
      </c>
      <c r="H40" s="43">
        <f t="shared" si="9"/>
        <v>533.53724255999998</v>
      </c>
      <c r="I40" s="43">
        <f t="shared" si="9"/>
        <v>533.53724255999998</v>
      </c>
      <c r="J40" s="43">
        <f t="shared" si="9"/>
        <v>533.53724255999998</v>
      </c>
      <c r="K40" s="43">
        <f t="shared" si="9"/>
        <v>800.30586384000003</v>
      </c>
      <c r="L40" s="43">
        <f t="shared" si="9"/>
        <v>533.53724255999998</v>
      </c>
      <c r="M40" s="43">
        <f t="shared" si="9"/>
        <v>533.53724255999998</v>
      </c>
      <c r="N40" s="43">
        <f t="shared" si="9"/>
        <v>533.53724255999998</v>
      </c>
      <c r="O40" s="43">
        <f t="shared" si="9"/>
        <v>533.53724255999998</v>
      </c>
      <c r="P40" s="43">
        <f t="shared" si="5"/>
        <v>6935.9841532799992</v>
      </c>
      <c r="Q40" s="23"/>
    </row>
    <row r="41" spans="1:17" x14ac:dyDescent="0.3">
      <c r="A41" s="1" t="s">
        <v>99</v>
      </c>
      <c r="B41" s="35" t="s">
        <v>320</v>
      </c>
      <c r="C41" s="23"/>
      <c r="D41" s="43">
        <f>D35*0.01373</f>
        <v>261.62379786959997</v>
      </c>
      <c r="E41" s="43">
        <f t="shared" ref="E41:O41" si="10">E35*0.01373</f>
        <v>261.62379786959997</v>
      </c>
      <c r="F41" s="43">
        <f t="shared" si="10"/>
        <v>392.43569680439998</v>
      </c>
      <c r="G41" s="43">
        <f t="shared" si="10"/>
        <v>261.62379786959997</v>
      </c>
      <c r="H41" s="43">
        <f t="shared" si="10"/>
        <v>261.62379786959997</v>
      </c>
      <c r="I41" s="43">
        <f t="shared" si="10"/>
        <v>261.62379786959997</v>
      </c>
      <c r="J41" s="43">
        <f t="shared" si="10"/>
        <v>261.62379786959997</v>
      </c>
      <c r="K41" s="43">
        <f t="shared" si="10"/>
        <v>392.43569680439998</v>
      </c>
      <c r="L41" s="43">
        <f t="shared" si="10"/>
        <v>261.62379786959997</v>
      </c>
      <c r="M41" s="43">
        <f t="shared" si="10"/>
        <v>261.62379786959997</v>
      </c>
      <c r="N41" s="43">
        <f t="shared" si="10"/>
        <v>261.62379786959997</v>
      </c>
      <c r="O41" s="43">
        <f t="shared" si="10"/>
        <v>261.62379786959997</v>
      </c>
      <c r="P41" s="43">
        <f t="shared" si="5"/>
        <v>3401.1093723047993</v>
      </c>
      <c r="Q41" s="23"/>
    </row>
    <row r="42" spans="1:17" x14ac:dyDescent="0.3">
      <c r="A42" s="1"/>
      <c r="B42" s="35" t="s">
        <v>16</v>
      </c>
      <c r="C42" s="23"/>
      <c r="P42" s="43">
        <f t="shared" si="5"/>
        <v>0</v>
      </c>
      <c r="Q42" s="23"/>
    </row>
    <row r="43" spans="1:17" x14ac:dyDescent="0.3">
      <c r="A43" s="195" t="s">
        <v>31</v>
      </c>
      <c r="B43" s="195"/>
      <c r="C43" s="23"/>
      <c r="D43" s="28">
        <f>SUM(D35:D42)</f>
        <v>23758.623015113521</v>
      </c>
      <c r="E43" s="28">
        <f t="shared" ref="E43:P43" si="11">SUM(E35:E42)</f>
        <v>23758.623015113521</v>
      </c>
      <c r="F43" s="28">
        <f t="shared" si="11"/>
        <v>35637.934522670286</v>
      </c>
      <c r="G43" s="28">
        <f t="shared" si="11"/>
        <v>23758.623015113521</v>
      </c>
      <c r="H43" s="28">
        <f t="shared" si="11"/>
        <v>23758.623015113521</v>
      </c>
      <c r="I43" s="28">
        <f t="shared" si="11"/>
        <v>23758.623015113521</v>
      </c>
      <c r="J43" s="28">
        <f t="shared" si="11"/>
        <v>23758.623015113521</v>
      </c>
      <c r="K43" s="28">
        <f t="shared" si="11"/>
        <v>35637.934522670286</v>
      </c>
      <c r="L43" s="28">
        <f t="shared" si="11"/>
        <v>23758.623015113521</v>
      </c>
      <c r="M43" s="28">
        <f t="shared" si="11"/>
        <v>23758.623015113521</v>
      </c>
      <c r="N43" s="28">
        <f t="shared" si="11"/>
        <v>23758.623015113521</v>
      </c>
      <c r="O43" s="28">
        <f t="shared" si="11"/>
        <v>23758.623015113521</v>
      </c>
      <c r="P43" s="28">
        <f t="shared" si="11"/>
        <v>308862.09919647576</v>
      </c>
      <c r="Q43" s="29">
        <f>SUM(P35:P42)</f>
        <v>308862.09919647576</v>
      </c>
    </row>
    <row r="44" spans="1:17" x14ac:dyDescent="0.3">
      <c r="A44" s="195" t="s">
        <v>32</v>
      </c>
      <c r="B44" s="195"/>
      <c r="C44" s="23"/>
      <c r="Q44" s="23"/>
    </row>
    <row r="45" spans="1:17" x14ac:dyDescent="0.3">
      <c r="A45" s="1"/>
      <c r="B45" s="35" t="s">
        <v>33</v>
      </c>
      <c r="C45" s="23"/>
      <c r="P45" s="43">
        <f t="shared" ref="P45:P52" si="12">SUM(D45:O45)</f>
        <v>0</v>
      </c>
      <c r="Q45" s="23"/>
    </row>
    <row r="46" spans="1:17" x14ac:dyDescent="0.3">
      <c r="A46" s="1"/>
      <c r="B46" s="35" t="s">
        <v>34</v>
      </c>
      <c r="C46" s="23"/>
      <c r="P46" s="43">
        <f t="shared" si="12"/>
        <v>0</v>
      </c>
      <c r="Q46" s="23"/>
    </row>
    <row r="47" spans="1:17" x14ac:dyDescent="0.3">
      <c r="A47" s="1"/>
      <c r="B47" s="35" t="s">
        <v>35</v>
      </c>
      <c r="C47" s="23"/>
      <c r="P47" s="43">
        <f t="shared" si="12"/>
        <v>0</v>
      </c>
      <c r="Q47" s="23"/>
    </row>
    <row r="48" spans="1:17" x14ac:dyDescent="0.3">
      <c r="A48" s="1"/>
      <c r="B48" s="35" t="s">
        <v>36</v>
      </c>
      <c r="C48" s="23"/>
      <c r="P48" s="43">
        <f t="shared" si="12"/>
        <v>0</v>
      </c>
      <c r="Q48" s="23"/>
    </row>
    <row r="49" spans="1:20" x14ac:dyDescent="0.3">
      <c r="A49" s="1"/>
      <c r="B49" s="35" t="s">
        <v>37</v>
      </c>
      <c r="C49" s="23"/>
      <c r="P49" s="43">
        <f t="shared" si="12"/>
        <v>0</v>
      </c>
      <c r="Q49" s="23"/>
    </row>
    <row r="50" spans="1:20" s="42" customFormat="1" x14ac:dyDescent="0.3">
      <c r="A50" s="1"/>
      <c r="B50" s="93" t="s">
        <v>194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>
        <f t="shared" si="12"/>
        <v>0</v>
      </c>
    </row>
    <row r="51" spans="1:20" x14ac:dyDescent="0.3">
      <c r="A51" s="1"/>
      <c r="B51" s="35" t="s">
        <v>38</v>
      </c>
      <c r="C51" s="23"/>
      <c r="P51" s="43">
        <f t="shared" si="12"/>
        <v>0</v>
      </c>
      <c r="Q51" s="23"/>
    </row>
    <row r="52" spans="1:20" x14ac:dyDescent="0.3">
      <c r="A52" s="1"/>
      <c r="B52" s="35" t="s">
        <v>39</v>
      </c>
      <c r="C52" s="23"/>
      <c r="P52" s="43">
        <f t="shared" si="12"/>
        <v>0</v>
      </c>
      <c r="Q52" s="23"/>
    </row>
    <row r="53" spans="1:20" x14ac:dyDescent="0.3">
      <c r="A53" s="195" t="s">
        <v>40</v>
      </c>
      <c r="B53" s="195"/>
      <c r="C53" s="23"/>
      <c r="D53" s="28">
        <f>SUM(D45:D52)</f>
        <v>0</v>
      </c>
      <c r="E53" s="28">
        <f t="shared" ref="E53:P53" si="13">SUM(E45:E52)</f>
        <v>0</v>
      </c>
      <c r="F53" s="28">
        <f t="shared" si="13"/>
        <v>0</v>
      </c>
      <c r="G53" s="28">
        <f t="shared" si="13"/>
        <v>0</v>
      </c>
      <c r="H53" s="28">
        <f t="shared" si="13"/>
        <v>0</v>
      </c>
      <c r="I53" s="28">
        <f t="shared" si="13"/>
        <v>0</v>
      </c>
      <c r="J53" s="28">
        <f t="shared" si="13"/>
        <v>0</v>
      </c>
      <c r="K53" s="28">
        <f t="shared" si="13"/>
        <v>0</v>
      </c>
      <c r="L53" s="28">
        <f t="shared" si="13"/>
        <v>0</v>
      </c>
      <c r="M53" s="28">
        <f t="shared" si="13"/>
        <v>0</v>
      </c>
      <c r="N53" s="28">
        <f t="shared" si="13"/>
        <v>0</v>
      </c>
      <c r="O53" s="28">
        <f t="shared" si="13"/>
        <v>0</v>
      </c>
      <c r="P53" s="28">
        <f t="shared" si="13"/>
        <v>0</v>
      </c>
      <c r="Q53" s="8">
        <f>SUM(P52)-P53</f>
        <v>0</v>
      </c>
    </row>
    <row r="54" spans="1:20" x14ac:dyDescent="0.3">
      <c r="A54" s="195" t="s">
        <v>41</v>
      </c>
      <c r="B54" s="195"/>
      <c r="C54" s="23"/>
      <c r="Q54" s="23"/>
    </row>
    <row r="55" spans="1:20" x14ac:dyDescent="0.3">
      <c r="A55" s="1"/>
      <c r="B55" s="35" t="s">
        <v>42</v>
      </c>
      <c r="C55" s="23"/>
      <c r="P55" s="43">
        <f t="shared" ref="P55:P83" si="14">SUM(D55:O55)</f>
        <v>0</v>
      </c>
      <c r="Q55" s="23"/>
    </row>
    <row r="56" spans="1:20" s="43" customFormat="1" x14ac:dyDescent="0.3">
      <c r="A56" s="26"/>
      <c r="B56" s="120" t="s">
        <v>43</v>
      </c>
      <c r="D56" s="43">
        <f>3430/12</f>
        <v>285.83333333333331</v>
      </c>
      <c r="E56" s="43">
        <f>3430/12</f>
        <v>285.83333333333331</v>
      </c>
      <c r="F56" s="43">
        <f t="shared" ref="F56:O56" si="15">3430/12</f>
        <v>285.83333333333331</v>
      </c>
      <c r="G56" s="43">
        <f t="shared" si="15"/>
        <v>285.83333333333331</v>
      </c>
      <c r="H56" s="43">
        <f t="shared" si="15"/>
        <v>285.83333333333331</v>
      </c>
      <c r="I56" s="43">
        <f t="shared" si="15"/>
        <v>285.83333333333331</v>
      </c>
      <c r="J56" s="43">
        <f t="shared" si="15"/>
        <v>285.83333333333331</v>
      </c>
      <c r="K56" s="43">
        <f t="shared" si="15"/>
        <v>285.83333333333331</v>
      </c>
      <c r="L56" s="43">
        <f t="shared" si="15"/>
        <v>285.83333333333331</v>
      </c>
      <c r="M56" s="43">
        <f t="shared" si="15"/>
        <v>285.83333333333331</v>
      </c>
      <c r="N56" s="43">
        <f t="shared" si="15"/>
        <v>285.83333333333331</v>
      </c>
      <c r="O56" s="43">
        <f t="shared" si="15"/>
        <v>285.83333333333331</v>
      </c>
      <c r="P56" s="43">
        <f t="shared" si="14"/>
        <v>3430.0000000000005</v>
      </c>
      <c r="S56" s="43" t="s">
        <v>267</v>
      </c>
      <c r="T56" s="43">
        <v>520</v>
      </c>
    </row>
    <row r="57" spans="1:20" x14ac:dyDescent="0.3">
      <c r="A57" s="1"/>
      <c r="B57" s="35" t="s">
        <v>44</v>
      </c>
      <c r="C57" s="23"/>
      <c r="D57" s="42">
        <f>7200/12</f>
        <v>600</v>
      </c>
      <c r="E57" s="42">
        <f t="shared" ref="E57:O57" si="16">7200/12</f>
        <v>600</v>
      </c>
      <c r="F57" s="42">
        <f t="shared" si="16"/>
        <v>600</v>
      </c>
      <c r="G57" s="42">
        <f t="shared" si="16"/>
        <v>600</v>
      </c>
      <c r="H57" s="42">
        <f t="shared" si="16"/>
        <v>600</v>
      </c>
      <c r="I57" s="42">
        <f t="shared" si="16"/>
        <v>600</v>
      </c>
      <c r="J57" s="42">
        <f t="shared" si="16"/>
        <v>600</v>
      </c>
      <c r="K57" s="42">
        <f t="shared" si="16"/>
        <v>600</v>
      </c>
      <c r="L57" s="42">
        <f t="shared" si="16"/>
        <v>600</v>
      </c>
      <c r="M57" s="42">
        <f t="shared" si="16"/>
        <v>600</v>
      </c>
      <c r="N57" s="42">
        <f t="shared" si="16"/>
        <v>600</v>
      </c>
      <c r="O57" s="42">
        <f t="shared" si="16"/>
        <v>600</v>
      </c>
      <c r="P57" s="43">
        <f t="shared" si="14"/>
        <v>7200</v>
      </c>
      <c r="Q57" s="23"/>
      <c r="S57" t="s">
        <v>266</v>
      </c>
      <c r="T57">
        <v>360</v>
      </c>
    </row>
    <row r="58" spans="1:20" x14ac:dyDescent="0.3">
      <c r="A58" s="1"/>
      <c r="B58" s="35" t="s">
        <v>45</v>
      </c>
      <c r="C58" s="23"/>
      <c r="D58" s="42">
        <v>100</v>
      </c>
      <c r="E58" s="42">
        <v>100</v>
      </c>
      <c r="F58" s="42">
        <v>100</v>
      </c>
      <c r="G58" s="42">
        <v>100</v>
      </c>
      <c r="H58" s="42">
        <v>100</v>
      </c>
      <c r="I58" s="42">
        <v>100</v>
      </c>
      <c r="J58" s="42">
        <v>100</v>
      </c>
      <c r="K58" s="42">
        <v>100</v>
      </c>
      <c r="L58" s="42">
        <v>100</v>
      </c>
      <c r="M58" s="42">
        <v>100</v>
      </c>
      <c r="N58" s="42">
        <v>100</v>
      </c>
      <c r="O58" s="42">
        <v>100</v>
      </c>
      <c r="P58" s="43">
        <f t="shared" si="14"/>
        <v>1200</v>
      </c>
      <c r="Q58" s="23"/>
      <c r="S58" t="s">
        <v>268</v>
      </c>
      <c r="T58">
        <v>650</v>
      </c>
    </row>
    <row r="59" spans="1:20" x14ac:dyDescent="0.3">
      <c r="A59" s="1"/>
      <c r="B59" s="35" t="s">
        <v>46</v>
      </c>
      <c r="C59" s="23"/>
      <c r="D59" s="42">
        <f>1500/12</f>
        <v>125</v>
      </c>
      <c r="E59" s="42">
        <f t="shared" ref="E59:O59" si="17">1500/12</f>
        <v>125</v>
      </c>
      <c r="F59" s="42">
        <f t="shared" si="17"/>
        <v>125</v>
      </c>
      <c r="G59" s="42">
        <f t="shared" si="17"/>
        <v>125</v>
      </c>
      <c r="H59" s="42">
        <f t="shared" si="17"/>
        <v>125</v>
      </c>
      <c r="I59" s="42">
        <f t="shared" si="17"/>
        <v>125</v>
      </c>
      <c r="J59" s="42">
        <f t="shared" si="17"/>
        <v>125</v>
      </c>
      <c r="K59" s="42">
        <f t="shared" si="17"/>
        <v>125</v>
      </c>
      <c r="L59" s="42">
        <f t="shared" si="17"/>
        <v>125</v>
      </c>
      <c r="M59" s="42">
        <f t="shared" si="17"/>
        <v>125</v>
      </c>
      <c r="N59" s="42">
        <f t="shared" si="17"/>
        <v>125</v>
      </c>
      <c r="O59" s="42">
        <f t="shared" si="17"/>
        <v>125</v>
      </c>
      <c r="P59" s="43">
        <f t="shared" si="14"/>
        <v>1500</v>
      </c>
      <c r="Q59" s="23"/>
      <c r="S59" t="s">
        <v>269</v>
      </c>
      <c r="T59">
        <v>900</v>
      </c>
    </row>
    <row r="60" spans="1:20" x14ac:dyDescent="0.3">
      <c r="A60" s="1"/>
      <c r="B60" s="35" t="s">
        <v>47</v>
      </c>
      <c r="C60" s="23"/>
      <c r="D60" s="42"/>
      <c r="P60" s="43">
        <f t="shared" si="14"/>
        <v>0</v>
      </c>
      <c r="Q60" s="23"/>
      <c r="S60" t="s">
        <v>270</v>
      </c>
      <c r="T60">
        <v>500</v>
      </c>
    </row>
    <row r="61" spans="1:20" x14ac:dyDescent="0.3">
      <c r="A61" s="1"/>
      <c r="B61" s="35" t="s">
        <v>48</v>
      </c>
      <c r="C61" s="23"/>
      <c r="P61" s="43">
        <f t="shared" si="14"/>
        <v>0</v>
      </c>
      <c r="Q61" s="23"/>
      <c r="S61" t="s">
        <v>271</v>
      </c>
      <c r="T61">
        <v>500</v>
      </c>
    </row>
    <row r="62" spans="1:20" x14ac:dyDescent="0.3">
      <c r="A62" s="1"/>
      <c r="B62" s="35" t="s">
        <v>49</v>
      </c>
      <c r="C62" s="23"/>
      <c r="P62" s="43">
        <f t="shared" si="14"/>
        <v>0</v>
      </c>
      <c r="Q62" s="23"/>
      <c r="T62">
        <f>SUM(T56:T61)</f>
        <v>3430</v>
      </c>
    </row>
    <row r="63" spans="1:20" x14ac:dyDescent="0.3">
      <c r="A63" s="1"/>
      <c r="B63" s="35" t="s">
        <v>50</v>
      </c>
      <c r="C63" s="23"/>
      <c r="P63" s="43">
        <f t="shared" si="14"/>
        <v>0</v>
      </c>
      <c r="Q63" s="23"/>
    </row>
    <row r="64" spans="1:20" x14ac:dyDescent="0.3">
      <c r="A64" s="1"/>
      <c r="B64" s="35" t="s">
        <v>51</v>
      </c>
      <c r="C64" s="23"/>
      <c r="P64" s="43">
        <f t="shared" si="14"/>
        <v>0</v>
      </c>
      <c r="Q64" s="23"/>
    </row>
    <row r="65" spans="1:17" x14ac:dyDescent="0.3">
      <c r="A65" s="1"/>
      <c r="B65" s="35" t="s">
        <v>52</v>
      </c>
      <c r="C65" s="23"/>
      <c r="P65" s="43">
        <f t="shared" si="14"/>
        <v>0</v>
      </c>
      <c r="Q65" s="23"/>
    </row>
    <row r="66" spans="1:17" x14ac:dyDescent="0.3">
      <c r="A66" s="1"/>
      <c r="B66" s="35" t="s">
        <v>53</v>
      </c>
      <c r="C66" s="23"/>
      <c r="D66" s="43">
        <v>100</v>
      </c>
      <c r="E66" s="43">
        <v>100</v>
      </c>
      <c r="F66" s="43">
        <v>100</v>
      </c>
      <c r="G66" s="43">
        <v>100</v>
      </c>
      <c r="H66" s="43">
        <v>100</v>
      </c>
      <c r="I66" s="43">
        <v>100</v>
      </c>
      <c r="J66" s="43">
        <v>100</v>
      </c>
      <c r="K66" s="43">
        <v>100</v>
      </c>
      <c r="L66" s="43">
        <v>100</v>
      </c>
      <c r="M66" s="43">
        <v>100</v>
      </c>
      <c r="N66" s="43">
        <v>100</v>
      </c>
      <c r="O66" s="43">
        <v>100</v>
      </c>
      <c r="P66" s="43">
        <f t="shared" si="14"/>
        <v>1200</v>
      </c>
      <c r="Q66" s="23"/>
    </row>
    <row r="67" spans="1:17" x14ac:dyDescent="0.3">
      <c r="A67" s="1"/>
      <c r="B67" s="35" t="s">
        <v>54</v>
      </c>
      <c r="C67" s="23"/>
      <c r="D67" s="43">
        <f>5200/12</f>
        <v>433.33333333333331</v>
      </c>
      <c r="E67" s="43">
        <f t="shared" ref="E67:O67" si="18">5200/12</f>
        <v>433.33333333333331</v>
      </c>
      <c r="F67" s="43">
        <f t="shared" si="18"/>
        <v>433.33333333333331</v>
      </c>
      <c r="G67" s="43">
        <f t="shared" si="18"/>
        <v>433.33333333333331</v>
      </c>
      <c r="H67" s="43">
        <f t="shared" si="18"/>
        <v>433.33333333333331</v>
      </c>
      <c r="I67" s="43">
        <f t="shared" si="18"/>
        <v>433.33333333333331</v>
      </c>
      <c r="J67" s="43">
        <f t="shared" si="18"/>
        <v>433.33333333333331</v>
      </c>
      <c r="K67" s="43">
        <f t="shared" si="18"/>
        <v>433.33333333333331</v>
      </c>
      <c r="L67" s="43">
        <f t="shared" si="18"/>
        <v>433.33333333333331</v>
      </c>
      <c r="M67" s="43">
        <f t="shared" si="18"/>
        <v>433.33333333333331</v>
      </c>
      <c r="N67" s="43">
        <f t="shared" si="18"/>
        <v>433.33333333333331</v>
      </c>
      <c r="O67" s="43">
        <f t="shared" si="18"/>
        <v>433.33333333333331</v>
      </c>
      <c r="P67" s="43">
        <f t="shared" si="14"/>
        <v>5200</v>
      </c>
      <c r="Q67" s="23"/>
    </row>
    <row r="68" spans="1:17" x14ac:dyDescent="0.3">
      <c r="A68" s="1"/>
      <c r="B68" s="35" t="s">
        <v>55</v>
      </c>
      <c r="C68" s="23"/>
      <c r="D68" s="43">
        <v>6500</v>
      </c>
      <c r="E68" s="43">
        <v>6500</v>
      </c>
      <c r="F68" s="43">
        <v>6500</v>
      </c>
      <c r="G68" s="43">
        <v>6500</v>
      </c>
      <c r="H68" s="43">
        <v>6500</v>
      </c>
      <c r="I68" s="43">
        <v>6500</v>
      </c>
      <c r="J68" s="43">
        <v>6500</v>
      </c>
      <c r="K68" s="43">
        <v>6500</v>
      </c>
      <c r="L68" s="43">
        <v>6500</v>
      </c>
      <c r="M68" s="43">
        <v>6500</v>
      </c>
      <c r="N68" s="43">
        <v>6500</v>
      </c>
      <c r="O68" s="43">
        <v>6500</v>
      </c>
      <c r="P68" s="43">
        <f t="shared" si="14"/>
        <v>78000</v>
      </c>
      <c r="Q68" s="23"/>
    </row>
    <row r="69" spans="1:17" x14ac:dyDescent="0.3">
      <c r="A69" s="1"/>
      <c r="B69" s="35" t="s">
        <v>56</v>
      </c>
      <c r="C69" s="23"/>
      <c r="D69" s="43">
        <f>2765+100</f>
        <v>2865</v>
      </c>
      <c r="E69" s="43">
        <f t="shared" ref="E69:O69" si="19">2765+100</f>
        <v>2865</v>
      </c>
      <c r="F69" s="43">
        <f t="shared" si="19"/>
        <v>2865</v>
      </c>
      <c r="G69" s="43">
        <f t="shared" si="19"/>
        <v>2865</v>
      </c>
      <c r="H69" s="43">
        <f t="shared" si="19"/>
        <v>2865</v>
      </c>
      <c r="I69" s="43">
        <f>2765+100+1000</f>
        <v>3865</v>
      </c>
      <c r="J69" s="43">
        <f t="shared" si="19"/>
        <v>2865</v>
      </c>
      <c r="K69" s="43">
        <f t="shared" si="19"/>
        <v>2865</v>
      </c>
      <c r="L69" s="43">
        <f t="shared" si="19"/>
        <v>2865</v>
      </c>
      <c r="M69" s="43">
        <f t="shared" si="19"/>
        <v>2865</v>
      </c>
      <c r="N69" s="43">
        <f t="shared" si="19"/>
        <v>2865</v>
      </c>
      <c r="O69" s="43">
        <f t="shared" si="19"/>
        <v>2865</v>
      </c>
      <c r="P69" s="43">
        <f t="shared" si="14"/>
        <v>35380</v>
      </c>
      <c r="Q69" s="23"/>
    </row>
    <row r="70" spans="1:17" x14ac:dyDescent="0.3">
      <c r="A70" s="1"/>
      <c r="B70" s="35" t="s">
        <v>57</v>
      </c>
      <c r="C70" s="23"/>
      <c r="P70" s="43">
        <f t="shared" si="14"/>
        <v>0</v>
      </c>
      <c r="Q70" s="23"/>
    </row>
    <row r="71" spans="1:17" x14ac:dyDescent="0.3">
      <c r="A71" s="1"/>
      <c r="B71" s="35" t="s">
        <v>58</v>
      </c>
      <c r="C71" s="23"/>
      <c r="G71" s="43">
        <v>8500</v>
      </c>
      <c r="H71" s="43">
        <v>6500</v>
      </c>
      <c r="P71" s="43">
        <f t="shared" si="14"/>
        <v>15000</v>
      </c>
      <c r="Q71" s="23"/>
    </row>
    <row r="72" spans="1:17" x14ac:dyDescent="0.3">
      <c r="A72" s="1"/>
      <c r="B72" s="35" t="s">
        <v>59</v>
      </c>
      <c r="C72" s="23"/>
      <c r="P72" s="43">
        <f t="shared" si="14"/>
        <v>0</v>
      </c>
      <c r="Q72" s="23"/>
    </row>
    <row r="73" spans="1:17" x14ac:dyDescent="0.3">
      <c r="A73" s="1"/>
      <c r="B73" s="35" t="s">
        <v>60</v>
      </c>
      <c r="C73" s="23"/>
      <c r="P73" s="43">
        <f t="shared" si="14"/>
        <v>0</v>
      </c>
      <c r="Q73" s="23"/>
    </row>
    <row r="74" spans="1:17" x14ac:dyDescent="0.3">
      <c r="A74" s="1"/>
      <c r="B74" s="35" t="s">
        <v>61</v>
      </c>
      <c r="C74" s="23"/>
      <c r="D74" s="43">
        <v>2075</v>
      </c>
      <c r="E74" s="43">
        <v>2075</v>
      </c>
      <c r="F74" s="43">
        <v>2825</v>
      </c>
      <c r="G74" s="43">
        <v>2075</v>
      </c>
      <c r="H74" s="43">
        <v>2100</v>
      </c>
      <c r="I74" s="43">
        <v>2075</v>
      </c>
      <c r="J74" s="43">
        <v>2075</v>
      </c>
      <c r="K74" s="43">
        <v>2075</v>
      </c>
      <c r="L74" s="43">
        <v>2075</v>
      </c>
      <c r="M74" s="43">
        <v>2075</v>
      </c>
      <c r="N74" s="43">
        <v>2075</v>
      </c>
      <c r="O74" s="43">
        <v>2075</v>
      </c>
      <c r="P74" s="43">
        <f t="shared" si="14"/>
        <v>25675</v>
      </c>
      <c r="Q74" s="23"/>
    </row>
    <row r="75" spans="1:17" x14ac:dyDescent="0.3">
      <c r="A75" s="1"/>
      <c r="B75" s="35" t="s">
        <v>62</v>
      </c>
      <c r="C75" s="23"/>
      <c r="P75" s="43">
        <f t="shared" si="14"/>
        <v>0</v>
      </c>
      <c r="Q75" s="23"/>
    </row>
    <row r="76" spans="1:17" x14ac:dyDescent="0.3">
      <c r="A76" s="1"/>
      <c r="B76" s="35" t="s">
        <v>63</v>
      </c>
      <c r="C76" s="23"/>
      <c r="D76" s="43">
        <v>300</v>
      </c>
      <c r="E76" s="43">
        <v>300</v>
      </c>
      <c r="F76" s="43">
        <v>300</v>
      </c>
      <c r="G76" s="43">
        <v>300</v>
      </c>
      <c r="H76" s="43">
        <v>300</v>
      </c>
      <c r="I76" s="43">
        <v>300</v>
      </c>
      <c r="J76" s="43">
        <v>300</v>
      </c>
      <c r="K76" s="43">
        <v>300</v>
      </c>
      <c r="L76" s="43">
        <v>300</v>
      </c>
      <c r="M76" s="43">
        <v>300</v>
      </c>
      <c r="N76" s="43">
        <v>300</v>
      </c>
      <c r="O76" s="43">
        <v>300</v>
      </c>
      <c r="P76" s="43">
        <f t="shared" si="14"/>
        <v>3600</v>
      </c>
      <c r="Q76" s="23"/>
    </row>
    <row r="77" spans="1:17" x14ac:dyDescent="0.3">
      <c r="A77" s="35" t="s">
        <v>17</v>
      </c>
      <c r="B77" s="35" t="s">
        <v>64</v>
      </c>
      <c r="C77" s="23"/>
      <c r="P77" s="43">
        <f t="shared" si="14"/>
        <v>0</v>
      </c>
      <c r="Q77" s="23"/>
    </row>
    <row r="78" spans="1:17" x14ac:dyDescent="0.3">
      <c r="A78" s="1"/>
      <c r="B78" s="35" t="s">
        <v>65</v>
      </c>
      <c r="C78" s="23"/>
      <c r="D78" s="43">
        <v>25</v>
      </c>
      <c r="E78" s="43">
        <v>25</v>
      </c>
      <c r="F78" s="43">
        <v>100</v>
      </c>
      <c r="G78" s="43">
        <v>25</v>
      </c>
      <c r="H78" s="43">
        <v>25</v>
      </c>
      <c r="I78" s="43">
        <v>100</v>
      </c>
      <c r="J78" s="43">
        <v>25</v>
      </c>
      <c r="K78" s="43">
        <v>25</v>
      </c>
      <c r="L78" s="43">
        <v>100</v>
      </c>
      <c r="M78" s="43">
        <v>25</v>
      </c>
      <c r="N78" s="43">
        <v>25</v>
      </c>
      <c r="O78" s="43">
        <v>100</v>
      </c>
      <c r="P78" s="43">
        <f t="shared" si="14"/>
        <v>600</v>
      </c>
      <c r="Q78" s="23"/>
    </row>
    <row r="79" spans="1:17" x14ac:dyDescent="0.3">
      <c r="A79" s="1"/>
      <c r="B79" s="1"/>
      <c r="C79" s="23"/>
      <c r="P79" s="43">
        <f t="shared" si="14"/>
        <v>0</v>
      </c>
      <c r="Q79" s="23"/>
    </row>
    <row r="80" spans="1:17" x14ac:dyDescent="0.3">
      <c r="A80" s="1"/>
      <c r="B80" s="35"/>
      <c r="C80" s="23"/>
      <c r="P80" s="43">
        <f t="shared" si="14"/>
        <v>0</v>
      </c>
      <c r="Q80" s="23"/>
    </row>
    <row r="81" spans="1:17" x14ac:dyDescent="0.3">
      <c r="A81" s="1"/>
      <c r="B81" s="35"/>
      <c r="C81" s="23"/>
      <c r="P81" s="43">
        <f t="shared" si="14"/>
        <v>0</v>
      </c>
      <c r="Q81" s="23"/>
    </row>
    <row r="82" spans="1:17" x14ac:dyDescent="0.3">
      <c r="A82" s="1"/>
      <c r="B82" s="35"/>
      <c r="C82" s="23"/>
      <c r="P82" s="43">
        <f t="shared" si="14"/>
        <v>0</v>
      </c>
      <c r="Q82" s="23"/>
    </row>
    <row r="83" spans="1:17" x14ac:dyDescent="0.3">
      <c r="A83" s="1"/>
      <c r="B83" s="35"/>
      <c r="C83" s="23"/>
      <c r="P83" s="43">
        <f t="shared" si="14"/>
        <v>0</v>
      </c>
      <c r="Q83" s="23"/>
    </row>
    <row r="84" spans="1:17" x14ac:dyDescent="0.3">
      <c r="A84" s="195" t="s">
        <v>66</v>
      </c>
      <c r="B84" s="195"/>
      <c r="C84" s="23"/>
      <c r="D84" s="28">
        <f>SUM(D56:D83)</f>
        <v>13409.166666666666</v>
      </c>
      <c r="E84" s="28">
        <f t="shared" ref="E84:P84" si="20">SUM(E56:E83)</f>
        <v>13409.166666666666</v>
      </c>
      <c r="F84" s="28">
        <f t="shared" si="20"/>
        <v>14234.166666666666</v>
      </c>
      <c r="G84" s="28">
        <f t="shared" si="20"/>
        <v>21909.166666666664</v>
      </c>
      <c r="H84" s="28">
        <f t="shared" si="20"/>
        <v>19934.166666666664</v>
      </c>
      <c r="I84" s="28">
        <f t="shared" si="20"/>
        <v>14484.166666666666</v>
      </c>
      <c r="J84" s="28">
        <f t="shared" si="20"/>
        <v>13409.166666666666</v>
      </c>
      <c r="K84" s="28">
        <f t="shared" si="20"/>
        <v>13409.166666666666</v>
      </c>
      <c r="L84" s="28">
        <f t="shared" si="20"/>
        <v>13484.166666666666</v>
      </c>
      <c r="M84" s="28">
        <f t="shared" si="20"/>
        <v>13409.166666666666</v>
      </c>
      <c r="N84" s="28">
        <f t="shared" si="20"/>
        <v>13409.166666666666</v>
      </c>
      <c r="O84" s="28">
        <f t="shared" si="20"/>
        <v>13484.166666666666</v>
      </c>
      <c r="P84" s="28">
        <f t="shared" si="20"/>
        <v>177985</v>
      </c>
      <c r="Q84" s="8">
        <f>SUM(P55:P83)-P84</f>
        <v>0</v>
      </c>
    </row>
    <row r="85" spans="1:17" x14ac:dyDescent="0.3">
      <c r="A85" s="195" t="s">
        <v>67</v>
      </c>
      <c r="B85" s="195"/>
      <c r="C85" s="23"/>
      <c r="Q85" s="23"/>
    </row>
    <row r="86" spans="1:17" x14ac:dyDescent="0.3">
      <c r="A86" s="1"/>
      <c r="B86" s="35" t="s">
        <v>68</v>
      </c>
      <c r="C86" s="23"/>
      <c r="D86" s="43">
        <v>1500</v>
      </c>
      <c r="E86" s="43">
        <v>1500</v>
      </c>
      <c r="F86" s="43">
        <v>1500</v>
      </c>
      <c r="G86" s="43">
        <v>1500</v>
      </c>
      <c r="H86" s="43">
        <v>1500</v>
      </c>
      <c r="I86" s="43">
        <v>1500</v>
      </c>
      <c r="J86" s="43">
        <v>1500</v>
      </c>
      <c r="K86" s="43">
        <v>1500</v>
      </c>
      <c r="L86" s="43">
        <v>1500</v>
      </c>
      <c r="M86" s="43">
        <v>1500</v>
      </c>
      <c r="N86" s="43">
        <v>1500</v>
      </c>
      <c r="O86" s="43">
        <v>1500</v>
      </c>
      <c r="P86" s="43">
        <f t="shared" ref="P86:P104" si="21">SUM(D86:O86)</f>
        <v>18000</v>
      </c>
      <c r="Q86" s="23"/>
    </row>
    <row r="87" spans="1:17" x14ac:dyDescent="0.3">
      <c r="A87" s="1"/>
      <c r="B87" s="35" t="s">
        <v>69</v>
      </c>
      <c r="C87" s="23"/>
      <c r="D87" s="43">
        <v>200</v>
      </c>
      <c r="E87" s="43">
        <v>200</v>
      </c>
      <c r="F87" s="43">
        <v>200</v>
      </c>
      <c r="G87" s="43">
        <v>200</v>
      </c>
      <c r="H87" s="43">
        <v>200</v>
      </c>
      <c r="I87" s="43">
        <v>200</v>
      </c>
      <c r="J87" s="43">
        <v>200</v>
      </c>
      <c r="K87" s="43">
        <v>200</v>
      </c>
      <c r="L87" s="43">
        <v>200</v>
      </c>
      <c r="M87" s="43">
        <v>200</v>
      </c>
      <c r="N87" s="43">
        <v>200</v>
      </c>
      <c r="O87" s="43">
        <v>200</v>
      </c>
      <c r="P87" s="43">
        <f t="shared" si="21"/>
        <v>2400</v>
      </c>
      <c r="Q87" s="23"/>
    </row>
    <row r="88" spans="1:17" x14ac:dyDescent="0.3">
      <c r="A88" s="1"/>
      <c r="B88" s="35" t="s">
        <v>70</v>
      </c>
      <c r="C88" s="23"/>
      <c r="D88" s="43">
        <v>350</v>
      </c>
      <c r="E88" s="43">
        <v>350</v>
      </c>
      <c r="F88" s="43">
        <v>350</v>
      </c>
      <c r="G88" s="43">
        <v>350</v>
      </c>
      <c r="H88" s="43">
        <v>350</v>
      </c>
      <c r="I88" s="43">
        <v>350</v>
      </c>
      <c r="J88" s="43">
        <v>350</v>
      </c>
      <c r="K88" s="43">
        <v>350</v>
      </c>
      <c r="L88" s="43">
        <v>350</v>
      </c>
      <c r="M88" s="43">
        <v>350</v>
      </c>
      <c r="N88" s="43">
        <v>350</v>
      </c>
      <c r="O88" s="43">
        <v>350</v>
      </c>
      <c r="P88" s="43">
        <f t="shared" si="21"/>
        <v>4200</v>
      </c>
      <c r="Q88" s="23"/>
    </row>
    <row r="89" spans="1:17" x14ac:dyDescent="0.3">
      <c r="A89" s="1"/>
      <c r="B89" s="35" t="s">
        <v>71</v>
      </c>
      <c r="C89" s="23"/>
      <c r="D89" s="43">
        <v>1000</v>
      </c>
      <c r="E89" s="43">
        <v>1000</v>
      </c>
      <c r="F89" s="43">
        <v>1000</v>
      </c>
      <c r="G89" s="43">
        <v>1000</v>
      </c>
      <c r="H89" s="43">
        <v>1000</v>
      </c>
      <c r="I89" s="43">
        <v>1000</v>
      </c>
      <c r="J89" s="43">
        <v>1000</v>
      </c>
      <c r="K89" s="43">
        <v>1000</v>
      </c>
      <c r="L89" s="43">
        <v>1000</v>
      </c>
      <c r="M89" s="43">
        <v>1000</v>
      </c>
      <c r="N89" s="43">
        <v>1000</v>
      </c>
      <c r="O89" s="43">
        <v>1000</v>
      </c>
      <c r="P89" s="43">
        <f t="shared" si="21"/>
        <v>12000</v>
      </c>
      <c r="Q89" s="23"/>
    </row>
    <row r="90" spans="1:17" x14ac:dyDescent="0.3">
      <c r="A90" s="1"/>
      <c r="B90" s="35" t="s">
        <v>72</v>
      </c>
      <c r="C90" s="23"/>
      <c r="P90" s="43">
        <f t="shared" si="21"/>
        <v>0</v>
      </c>
      <c r="Q90" s="23"/>
    </row>
    <row r="91" spans="1:17" x14ac:dyDescent="0.3">
      <c r="A91" s="1"/>
      <c r="B91" s="35" t="s">
        <v>73</v>
      </c>
      <c r="C91" s="23"/>
      <c r="P91" s="43">
        <f t="shared" si="21"/>
        <v>0</v>
      </c>
      <c r="Q91" s="23"/>
    </row>
    <row r="92" spans="1:17" x14ac:dyDescent="0.3">
      <c r="A92" s="1"/>
      <c r="B92" s="35" t="s">
        <v>74</v>
      </c>
      <c r="C92" s="23"/>
      <c r="P92" s="43">
        <f t="shared" si="21"/>
        <v>0</v>
      </c>
      <c r="Q92" s="23"/>
    </row>
    <row r="93" spans="1:17" x14ac:dyDescent="0.3">
      <c r="A93" s="1"/>
      <c r="B93" s="35" t="s">
        <v>75</v>
      </c>
      <c r="C93" s="23"/>
      <c r="P93" s="43">
        <f t="shared" si="21"/>
        <v>0</v>
      </c>
      <c r="Q93" s="23"/>
    </row>
    <row r="94" spans="1:17" x14ac:dyDescent="0.3">
      <c r="A94" s="1"/>
      <c r="B94" s="35" t="s">
        <v>76</v>
      </c>
      <c r="C94" s="23"/>
      <c r="D94" s="43">
        <v>480</v>
      </c>
      <c r="E94" s="43">
        <v>480</v>
      </c>
      <c r="F94" s="43">
        <v>480</v>
      </c>
      <c r="G94" s="43">
        <v>480</v>
      </c>
      <c r="H94" s="43">
        <v>480</v>
      </c>
      <c r="I94" s="43">
        <v>480</v>
      </c>
      <c r="J94" s="43">
        <v>480</v>
      </c>
      <c r="K94" s="43">
        <v>480</v>
      </c>
      <c r="L94" s="43">
        <v>480</v>
      </c>
      <c r="M94" s="43">
        <v>480</v>
      </c>
      <c r="N94" s="43">
        <v>480</v>
      </c>
      <c r="O94" s="43">
        <v>480</v>
      </c>
      <c r="P94" s="43">
        <f t="shared" si="21"/>
        <v>5760</v>
      </c>
      <c r="Q94" s="23"/>
    </row>
    <row r="95" spans="1:17" x14ac:dyDescent="0.3">
      <c r="A95" s="1"/>
      <c r="B95" s="35" t="s">
        <v>77</v>
      </c>
      <c r="C95" s="23"/>
      <c r="P95" s="43">
        <f t="shared" si="21"/>
        <v>0</v>
      </c>
      <c r="Q95" s="23"/>
    </row>
    <row r="96" spans="1:17" x14ac:dyDescent="0.3">
      <c r="A96" s="1"/>
      <c r="B96" s="35" t="s">
        <v>78</v>
      </c>
      <c r="C96" s="23"/>
      <c r="P96" s="43">
        <f t="shared" si="21"/>
        <v>0</v>
      </c>
      <c r="Q96" s="23"/>
    </row>
    <row r="97" spans="1:17" x14ac:dyDescent="0.3">
      <c r="A97" s="1"/>
      <c r="B97" s="35" t="s">
        <v>79</v>
      </c>
      <c r="C97" s="23"/>
      <c r="P97" s="43">
        <f t="shared" si="21"/>
        <v>0</v>
      </c>
      <c r="Q97" s="23"/>
    </row>
    <row r="98" spans="1:17" x14ac:dyDescent="0.3">
      <c r="A98" s="1"/>
      <c r="B98" s="35" t="s">
        <v>80</v>
      </c>
      <c r="C98" s="23"/>
      <c r="D98" s="43">
        <v>3028</v>
      </c>
      <c r="E98" s="43">
        <v>3028</v>
      </c>
      <c r="F98" s="43">
        <v>3028</v>
      </c>
      <c r="G98" s="43">
        <v>3028</v>
      </c>
      <c r="H98" s="43">
        <v>3028</v>
      </c>
      <c r="I98" s="43">
        <v>3028</v>
      </c>
      <c r="J98" s="43">
        <v>3028</v>
      </c>
      <c r="K98" s="43">
        <f>3028*1.03</f>
        <v>3118.84</v>
      </c>
      <c r="L98" s="43">
        <f>3028*1.03</f>
        <v>3118.84</v>
      </c>
      <c r="M98" s="43">
        <f>3028*1.03</f>
        <v>3118.84</v>
      </c>
      <c r="N98" s="43">
        <f>3028*1.03</f>
        <v>3118.84</v>
      </c>
      <c r="O98" s="43">
        <f>3028*1.03</f>
        <v>3118.84</v>
      </c>
      <c r="P98" s="43">
        <f t="shared" si="21"/>
        <v>36790.199999999997</v>
      </c>
      <c r="Q98" s="23"/>
    </row>
    <row r="99" spans="1:17" x14ac:dyDescent="0.3">
      <c r="A99" s="1"/>
      <c r="B99" s="35" t="s">
        <v>81</v>
      </c>
      <c r="C99" s="23"/>
      <c r="D99" s="43">
        <v>300</v>
      </c>
      <c r="E99" s="43">
        <v>300</v>
      </c>
      <c r="F99" s="43">
        <v>300</v>
      </c>
      <c r="G99" s="43">
        <v>300</v>
      </c>
      <c r="H99" s="43">
        <v>300</v>
      </c>
      <c r="I99" s="43">
        <v>300</v>
      </c>
      <c r="J99" s="43">
        <v>300</v>
      </c>
      <c r="K99" s="43">
        <v>300</v>
      </c>
      <c r="L99" s="43">
        <v>300</v>
      </c>
      <c r="M99" s="43">
        <v>300</v>
      </c>
      <c r="N99" s="43">
        <v>300</v>
      </c>
      <c r="O99" s="43">
        <v>300</v>
      </c>
      <c r="P99" s="43">
        <f t="shared" si="21"/>
        <v>3600</v>
      </c>
      <c r="Q99" s="23"/>
    </row>
    <row r="100" spans="1:17" x14ac:dyDescent="0.3">
      <c r="A100" s="1"/>
      <c r="B100" s="35" t="s">
        <v>82</v>
      </c>
      <c r="C100" s="23"/>
      <c r="P100" s="43">
        <f t="shared" si="21"/>
        <v>0</v>
      </c>
      <c r="Q100" s="23"/>
    </row>
    <row r="101" spans="1:17" x14ac:dyDescent="0.3">
      <c r="A101" s="1"/>
      <c r="B101" s="35" t="s">
        <v>83</v>
      </c>
      <c r="C101" s="23"/>
      <c r="D101" s="43">
        <v>105000</v>
      </c>
      <c r="P101" s="43">
        <f t="shared" si="21"/>
        <v>105000</v>
      </c>
      <c r="Q101" s="23"/>
    </row>
    <row r="102" spans="1:17" x14ac:dyDescent="0.3">
      <c r="A102" s="1"/>
      <c r="B102" s="1"/>
      <c r="C102" s="23"/>
      <c r="P102" s="43">
        <f t="shared" si="21"/>
        <v>0</v>
      </c>
      <c r="Q102" s="23"/>
    </row>
    <row r="103" spans="1:17" x14ac:dyDescent="0.3">
      <c r="A103" s="1"/>
      <c r="B103" s="35"/>
      <c r="C103" s="23"/>
      <c r="P103" s="43">
        <f t="shared" si="21"/>
        <v>0</v>
      </c>
      <c r="Q103" s="23"/>
    </row>
    <row r="104" spans="1:17" x14ac:dyDescent="0.3">
      <c r="A104" s="1"/>
      <c r="B104" s="35"/>
      <c r="C104" s="23"/>
      <c r="P104" s="43">
        <f t="shared" si="21"/>
        <v>0</v>
      </c>
      <c r="Q104" s="23"/>
    </row>
    <row r="105" spans="1:17" x14ac:dyDescent="0.3">
      <c r="A105" s="195" t="s">
        <v>84</v>
      </c>
      <c r="B105" s="195"/>
      <c r="C105" s="23"/>
      <c r="D105" s="30">
        <f>SUM(D86:D104)</f>
        <v>111858</v>
      </c>
      <c r="E105" s="30">
        <f t="shared" ref="E105:P105" si="22">SUM(E86:E104)</f>
        <v>6858</v>
      </c>
      <c r="F105" s="30">
        <f t="shared" si="22"/>
        <v>6858</v>
      </c>
      <c r="G105" s="30">
        <f t="shared" si="22"/>
        <v>6858</v>
      </c>
      <c r="H105" s="30">
        <f t="shared" si="22"/>
        <v>6858</v>
      </c>
      <c r="I105" s="30">
        <f t="shared" si="22"/>
        <v>6858</v>
      </c>
      <c r="J105" s="30">
        <f t="shared" si="22"/>
        <v>6858</v>
      </c>
      <c r="K105" s="30">
        <f t="shared" si="22"/>
        <v>6948.84</v>
      </c>
      <c r="L105" s="30">
        <f t="shared" si="22"/>
        <v>6948.84</v>
      </c>
      <c r="M105" s="30">
        <f t="shared" si="22"/>
        <v>6948.84</v>
      </c>
      <c r="N105" s="30">
        <f t="shared" si="22"/>
        <v>6948.84</v>
      </c>
      <c r="O105" s="30">
        <f t="shared" si="22"/>
        <v>6948.84</v>
      </c>
      <c r="P105" s="30">
        <f t="shared" si="22"/>
        <v>187750.2</v>
      </c>
      <c r="Q105" s="8">
        <f>SUM(P86:P104)-P105</f>
        <v>0</v>
      </c>
    </row>
    <row r="106" spans="1:17" x14ac:dyDescent="0.3">
      <c r="A106" s="1"/>
      <c r="B106" s="35" t="s">
        <v>85</v>
      </c>
      <c r="C106" s="23"/>
      <c r="D106" s="30">
        <f>D105+D84+D53+D43</f>
        <v>149025.78968178018</v>
      </c>
      <c r="E106" s="30">
        <f t="shared" ref="E106:P106" si="23">E105+E84+E53+E43</f>
        <v>44025.789681780181</v>
      </c>
      <c r="F106" s="30">
        <f t="shared" si="23"/>
        <v>56730.10118933695</v>
      </c>
      <c r="G106" s="30">
        <f t="shared" si="23"/>
        <v>52525.789681780181</v>
      </c>
      <c r="H106" s="30">
        <f t="shared" si="23"/>
        <v>50550.789681780181</v>
      </c>
      <c r="I106" s="30">
        <f t="shared" si="23"/>
        <v>45100.789681780181</v>
      </c>
      <c r="J106" s="30">
        <f t="shared" si="23"/>
        <v>44025.789681780181</v>
      </c>
      <c r="K106" s="30">
        <f t="shared" si="23"/>
        <v>55995.941189336954</v>
      </c>
      <c r="L106" s="30">
        <f t="shared" si="23"/>
        <v>44191.629681780192</v>
      </c>
      <c r="M106" s="30">
        <f t="shared" si="23"/>
        <v>44116.629681780192</v>
      </c>
      <c r="N106" s="30">
        <f t="shared" si="23"/>
        <v>44116.629681780192</v>
      </c>
      <c r="O106" s="30">
        <f t="shared" si="23"/>
        <v>44191.629681780192</v>
      </c>
      <c r="P106" s="30">
        <f t="shared" si="23"/>
        <v>674597.29919647577</v>
      </c>
      <c r="Q106" s="23"/>
    </row>
    <row r="107" spans="1:17" x14ac:dyDescent="0.3">
      <c r="A107" s="1"/>
      <c r="B107" s="35" t="s">
        <v>86</v>
      </c>
      <c r="C107" s="23"/>
      <c r="Q107" s="23"/>
    </row>
    <row r="108" spans="1:17" x14ac:dyDescent="0.3">
      <c r="A108" s="23"/>
      <c r="B108" s="23"/>
      <c r="C108" s="23"/>
      <c r="Q108" s="23"/>
    </row>
    <row r="109" spans="1:17" ht="15" thickBot="1" x14ac:dyDescent="0.35">
      <c r="A109" s="23"/>
      <c r="B109" s="23" t="s">
        <v>112</v>
      </c>
      <c r="C109" s="23"/>
      <c r="D109" s="31">
        <f>D32-D106-D107</f>
        <v>-148700.78968178018</v>
      </c>
      <c r="E109" s="31">
        <f t="shared" ref="E109:P109" si="24">E32-E106-E107</f>
        <v>-43700.789681780181</v>
      </c>
      <c r="F109" s="31">
        <f t="shared" si="24"/>
        <v>-56405.10118933695</v>
      </c>
      <c r="G109" s="31">
        <f t="shared" si="24"/>
        <v>-52200.789681780181</v>
      </c>
      <c r="H109" s="31">
        <f t="shared" si="24"/>
        <v>-50225.789681780181</v>
      </c>
      <c r="I109" s="31">
        <f t="shared" si="24"/>
        <v>-44775.789681780181</v>
      </c>
      <c r="J109" s="31">
        <f t="shared" si="24"/>
        <v>-43700.789681780181</v>
      </c>
      <c r="K109" s="31">
        <f t="shared" si="24"/>
        <v>-55670.941189336954</v>
      </c>
      <c r="L109" s="31">
        <f t="shared" si="24"/>
        <v>-43866.629681780192</v>
      </c>
      <c r="M109" s="31">
        <f t="shared" si="24"/>
        <v>-43791.629681780192</v>
      </c>
      <c r="N109" s="31">
        <f t="shared" si="24"/>
        <v>-43791.629681780192</v>
      </c>
      <c r="O109" s="31">
        <f t="shared" si="24"/>
        <v>-43866.629681780192</v>
      </c>
      <c r="P109" s="31">
        <f t="shared" si="24"/>
        <v>-670697.29919647577</v>
      </c>
      <c r="Q109" s="23"/>
    </row>
    <row r="110" spans="1:17" ht="15" thickTop="1" x14ac:dyDescent="0.3"/>
  </sheetData>
  <mergeCells count="16"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  <mergeCell ref="A19:B19"/>
    <mergeCell ref="A4:B4"/>
    <mergeCell ref="A5:B5"/>
    <mergeCell ref="A12:B12"/>
    <mergeCell ref="A13:B13"/>
    <mergeCell ref="A18:B18"/>
  </mergeCells>
  <pageMargins left="0.7" right="0.7" top="0.75" bottom="0.75" header="0.3" footer="0.3"/>
  <pageSetup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1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4" sqref="B14:B17"/>
    </sheetView>
  </sheetViews>
  <sheetFormatPr defaultRowHeight="14.4" x14ac:dyDescent="0.3"/>
  <cols>
    <col min="2" max="2" width="29.44140625" customWidth="1"/>
    <col min="3" max="3" width="1.88671875" customWidth="1"/>
    <col min="11" max="11" width="9.109375" customWidth="1"/>
    <col min="12" max="12" width="10.5546875" customWidth="1"/>
    <col min="18" max="18" width="29.5546875" style="47" customWidth="1"/>
  </cols>
  <sheetData>
    <row r="1" spans="1:18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8" x14ac:dyDescent="0.3">
      <c r="A3" s="23"/>
      <c r="B3" s="23"/>
      <c r="C3" s="23"/>
      <c r="D3" s="3" t="s">
        <v>100</v>
      </c>
      <c r="E3" s="3" t="s">
        <v>101</v>
      </c>
      <c r="F3" s="3" t="s">
        <v>102</v>
      </c>
      <c r="G3" s="3" t="s">
        <v>103</v>
      </c>
      <c r="H3" s="3" t="s">
        <v>104</v>
      </c>
      <c r="I3" s="3" t="s">
        <v>105</v>
      </c>
      <c r="J3" s="3" t="s">
        <v>106</v>
      </c>
      <c r="K3" s="3" t="s">
        <v>107</v>
      </c>
      <c r="L3" s="3" t="s">
        <v>108</v>
      </c>
      <c r="M3" s="3" t="s">
        <v>109</v>
      </c>
      <c r="N3" s="3" t="s">
        <v>110</v>
      </c>
      <c r="O3" s="3" t="s">
        <v>111</v>
      </c>
      <c r="P3" s="6" t="s">
        <v>113</v>
      </c>
      <c r="Q3" s="23"/>
    </row>
    <row r="4" spans="1:18" x14ac:dyDescent="0.3">
      <c r="A4" s="195" t="s">
        <v>99</v>
      </c>
      <c r="B4" s="19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8" x14ac:dyDescent="0.3">
      <c r="A5" s="195" t="s">
        <v>1</v>
      </c>
      <c r="B5" s="195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8" x14ac:dyDescent="0.3">
      <c r="A6" s="1"/>
      <c r="B6" s="94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>
        <f>SUM(D6:O6)</f>
        <v>0</v>
      </c>
      <c r="Q6" s="23"/>
    </row>
    <row r="7" spans="1:18" x14ac:dyDescent="0.3">
      <c r="A7" s="1"/>
      <c r="B7" s="94" t="s">
        <v>204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>
        <f>SUM(D7:O7)</f>
        <v>0</v>
      </c>
      <c r="Q7" s="23"/>
    </row>
    <row r="8" spans="1:18" s="42" customFormat="1" x14ac:dyDescent="0.3">
      <c r="A8" s="1"/>
      <c r="B8" s="94" t="s">
        <v>205</v>
      </c>
      <c r="R8" s="47"/>
    </row>
    <row r="9" spans="1:18" x14ac:dyDescent="0.3">
      <c r="A9" s="1"/>
      <c r="B9" s="94" t="s">
        <v>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>
        <f>SUM(D9:O9)</f>
        <v>0</v>
      </c>
      <c r="Q9" s="23"/>
    </row>
    <row r="10" spans="1:18" s="42" customFormat="1" x14ac:dyDescent="0.3">
      <c r="A10" s="1"/>
      <c r="B10" s="94" t="s">
        <v>206</v>
      </c>
      <c r="R10" s="47"/>
    </row>
    <row r="11" spans="1:18" x14ac:dyDescent="0.3">
      <c r="A11" s="1"/>
      <c r="B11" s="94" t="s">
        <v>207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>
        <f>SUM(D11:O11)</f>
        <v>0</v>
      </c>
      <c r="Q11" s="23"/>
    </row>
    <row r="12" spans="1:18" x14ac:dyDescent="0.3">
      <c r="A12" s="195" t="s">
        <v>6</v>
      </c>
      <c r="B12" s="195"/>
      <c r="C12" s="23"/>
      <c r="D12" s="4">
        <f>SUM(D6:D11)</f>
        <v>0</v>
      </c>
      <c r="E12" s="4">
        <f t="shared" ref="E12:P12" si="0">SUM(E6:E11)</f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8">
        <f>P12-P6-P7-P9-P11</f>
        <v>0</v>
      </c>
    </row>
    <row r="13" spans="1:18" x14ac:dyDescent="0.3">
      <c r="A13" s="195" t="s">
        <v>7</v>
      </c>
      <c r="B13" s="195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8" x14ac:dyDescent="0.3">
      <c r="A14" s="1"/>
      <c r="B14" s="97" t="s">
        <v>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>
        <f>SUM(D14:O14)</f>
        <v>0</v>
      </c>
      <c r="Q14" s="23"/>
    </row>
    <row r="15" spans="1:18" x14ac:dyDescent="0.3">
      <c r="A15" s="1"/>
      <c r="B15" s="97" t="s">
        <v>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>
        <f>SUM(D15:O15)</f>
        <v>0</v>
      </c>
      <c r="Q15" s="23"/>
    </row>
    <row r="16" spans="1:18" x14ac:dyDescent="0.3">
      <c r="A16" s="1"/>
      <c r="B16" s="97" t="s">
        <v>219</v>
      </c>
      <c r="C16" s="23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f>SUM(D16:O16)</f>
        <v>0</v>
      </c>
      <c r="Q16" s="23"/>
    </row>
    <row r="17" spans="1:17" x14ac:dyDescent="0.3">
      <c r="A17" s="1"/>
      <c r="B17" s="66" t="s">
        <v>16</v>
      </c>
      <c r="C17" s="23"/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f>SUM(D17:O17)</f>
        <v>0</v>
      </c>
      <c r="Q17" s="23"/>
    </row>
    <row r="18" spans="1:17" x14ac:dyDescent="0.3">
      <c r="A18" s="195" t="s">
        <v>10</v>
      </c>
      <c r="B18" s="195"/>
      <c r="C18" s="23"/>
      <c r="D18" s="4">
        <f>SUM(D14:D17)</f>
        <v>0</v>
      </c>
      <c r="E18" s="4">
        <f t="shared" ref="E18:P18" si="1">SUM(E14:E17)</f>
        <v>0</v>
      </c>
      <c r="F18" s="4">
        <f t="shared" si="1"/>
        <v>0</v>
      </c>
      <c r="G18" s="4">
        <f t="shared" si="1"/>
        <v>0</v>
      </c>
      <c r="H18" s="4">
        <f t="shared" si="1"/>
        <v>0</v>
      </c>
      <c r="I18" s="4">
        <f t="shared" si="1"/>
        <v>0</v>
      </c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0</v>
      </c>
      <c r="N18" s="4">
        <f t="shared" si="1"/>
        <v>0</v>
      </c>
      <c r="O18" s="4">
        <f t="shared" si="1"/>
        <v>0</v>
      </c>
      <c r="P18" s="4">
        <f t="shared" si="1"/>
        <v>0</v>
      </c>
      <c r="Q18" s="8">
        <f>P18-P14-P15-P16-P17</f>
        <v>0</v>
      </c>
    </row>
    <row r="19" spans="1:17" x14ac:dyDescent="0.3">
      <c r="A19" s="195" t="s">
        <v>11</v>
      </c>
      <c r="B19" s="19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x14ac:dyDescent="0.3">
      <c r="A20" s="1"/>
      <c r="B20" s="35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>
        <f t="shared" ref="P20:P25" si="2">SUM(D20:O20)</f>
        <v>0</v>
      </c>
      <c r="Q20" s="23"/>
    </row>
    <row r="21" spans="1:17" x14ac:dyDescent="0.3">
      <c r="A21" s="1"/>
      <c r="B21" s="35" t="s">
        <v>96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>
        <f t="shared" si="2"/>
        <v>0</v>
      </c>
      <c r="Q21" s="23"/>
    </row>
    <row r="22" spans="1:17" x14ac:dyDescent="0.3">
      <c r="A22" s="1"/>
      <c r="B22" s="35" t="s">
        <v>97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>
        <f t="shared" si="2"/>
        <v>0</v>
      </c>
      <c r="Q22" s="23"/>
    </row>
    <row r="23" spans="1:17" x14ac:dyDescent="0.3">
      <c r="A23" s="1"/>
      <c r="B23" s="35" t="s">
        <v>13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>
        <f t="shared" si="2"/>
        <v>0</v>
      </c>
      <c r="Q23" s="23"/>
    </row>
    <row r="24" spans="1:17" x14ac:dyDescent="0.3">
      <c r="A24" s="1"/>
      <c r="B24" s="35" t="s">
        <v>14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>
        <f t="shared" si="2"/>
        <v>0</v>
      </c>
      <c r="Q24" s="23"/>
    </row>
    <row r="25" spans="1:17" x14ac:dyDescent="0.3">
      <c r="A25" s="1"/>
      <c r="B25" s="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>
        <f t="shared" si="2"/>
        <v>0</v>
      </c>
      <c r="Q25" s="23"/>
    </row>
    <row r="26" spans="1:17" x14ac:dyDescent="0.3">
      <c r="A26" s="195" t="s">
        <v>15</v>
      </c>
      <c r="B26" s="195"/>
      <c r="C26" s="23"/>
      <c r="D26" s="4">
        <f>SUM(D20:D25)</f>
        <v>0</v>
      </c>
      <c r="E26" s="4">
        <f t="shared" ref="E26:P26" si="3">SUM(E20:E25)</f>
        <v>0</v>
      </c>
      <c r="F26" s="4">
        <f t="shared" si="3"/>
        <v>0</v>
      </c>
      <c r="G26" s="4">
        <f t="shared" si="3"/>
        <v>0</v>
      </c>
      <c r="H26" s="4">
        <f t="shared" si="3"/>
        <v>0</v>
      </c>
      <c r="I26" s="4">
        <f t="shared" si="3"/>
        <v>0</v>
      </c>
      <c r="J26" s="4">
        <f t="shared" si="3"/>
        <v>0</v>
      </c>
      <c r="K26" s="4">
        <f t="shared" si="3"/>
        <v>0</v>
      </c>
      <c r="L26" s="4">
        <f t="shared" si="3"/>
        <v>0</v>
      </c>
      <c r="M26" s="4">
        <f t="shared" si="3"/>
        <v>0</v>
      </c>
      <c r="N26" s="4">
        <f t="shared" si="3"/>
        <v>0</v>
      </c>
      <c r="O26" s="4">
        <f t="shared" si="3"/>
        <v>0</v>
      </c>
      <c r="P26" s="4">
        <f t="shared" si="3"/>
        <v>0</v>
      </c>
      <c r="Q26" s="8">
        <f>SUM(P20:P25)-P26</f>
        <v>0</v>
      </c>
    </row>
    <row r="27" spans="1:17" x14ac:dyDescent="0.3">
      <c r="A27" s="195" t="s">
        <v>16</v>
      </c>
      <c r="B27" s="195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x14ac:dyDescent="0.3">
      <c r="A28" s="35" t="s">
        <v>17</v>
      </c>
      <c r="B28" s="35" t="s">
        <v>18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>
        <f>SUM(D28:O28)</f>
        <v>0</v>
      </c>
      <c r="Q28" s="23"/>
    </row>
    <row r="29" spans="1:17" x14ac:dyDescent="0.3">
      <c r="A29" s="35" t="s">
        <v>17</v>
      </c>
      <c r="B29" s="35" t="s">
        <v>19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>
        <f>SUM(D29:O29)</f>
        <v>0</v>
      </c>
      <c r="Q29" s="23"/>
    </row>
    <row r="30" spans="1:17" x14ac:dyDescent="0.3">
      <c r="A30" s="35" t="s">
        <v>17</v>
      </c>
      <c r="B30" s="35" t="s">
        <v>20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>
        <f>SUM(D30:O30)</f>
        <v>0</v>
      </c>
      <c r="Q30" s="23"/>
    </row>
    <row r="31" spans="1:17" x14ac:dyDescent="0.3">
      <c r="A31" s="35" t="s">
        <v>17</v>
      </c>
      <c r="B31" s="35" t="s">
        <v>21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>
        <f>SUM(D31:O31)</f>
        <v>0</v>
      </c>
      <c r="Q31" s="23"/>
    </row>
    <row r="32" spans="1:17" x14ac:dyDescent="0.3">
      <c r="A32" s="1"/>
      <c r="B32" s="1"/>
      <c r="C32" s="23"/>
      <c r="D32" s="5">
        <f>D12+D18+D26+D28+D29+D30+D31</f>
        <v>0</v>
      </c>
      <c r="E32" s="5">
        <f t="shared" ref="E32:P32" si="4">E12+E18+E26+E28+E29+E30+E31</f>
        <v>0</v>
      </c>
      <c r="F32" s="5">
        <f t="shared" si="4"/>
        <v>0</v>
      </c>
      <c r="G32" s="5">
        <f t="shared" si="4"/>
        <v>0</v>
      </c>
      <c r="H32" s="5">
        <f t="shared" si="4"/>
        <v>0</v>
      </c>
      <c r="I32" s="5">
        <f t="shared" si="4"/>
        <v>0</v>
      </c>
      <c r="J32" s="5">
        <f t="shared" si="4"/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>
        <f t="shared" si="4"/>
        <v>0</v>
      </c>
      <c r="O32" s="5">
        <f t="shared" si="4"/>
        <v>0</v>
      </c>
      <c r="P32" s="5">
        <f t="shared" si="4"/>
        <v>0</v>
      </c>
      <c r="Q32" s="8">
        <f>SUM(P28:P31)*P32</f>
        <v>0</v>
      </c>
    </row>
    <row r="33" spans="1:17" x14ac:dyDescent="0.3">
      <c r="A33" s="1"/>
      <c r="B33" s="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3">
      <c r="A34" s="195" t="s">
        <v>22</v>
      </c>
      <c r="B34" s="19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3">
      <c r="A35" s="1"/>
      <c r="B35" s="35" t="s">
        <v>23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>SUM(D35:O35)</f>
        <v>0</v>
      </c>
      <c r="Q35" s="23"/>
    </row>
    <row r="36" spans="1:17" x14ac:dyDescent="0.3">
      <c r="A36" s="1"/>
      <c r="B36" s="35" t="s">
        <v>24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ref="P36:P42" si="5">SUM(D36:O36)</f>
        <v>0</v>
      </c>
      <c r="Q36" s="23"/>
    </row>
    <row r="37" spans="1:17" x14ac:dyDescent="0.3">
      <c r="A37" s="1"/>
      <c r="B37" s="35" t="s">
        <v>25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5"/>
        <v>0</v>
      </c>
      <c r="Q37" s="23"/>
    </row>
    <row r="38" spans="1:17" x14ac:dyDescent="0.3">
      <c r="A38" s="1"/>
      <c r="B38" s="35" t="s">
        <v>26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5"/>
        <v>0</v>
      </c>
      <c r="Q38" s="23"/>
    </row>
    <row r="39" spans="1:17" x14ac:dyDescent="0.3">
      <c r="A39" s="1"/>
      <c r="B39" s="35" t="s">
        <v>27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5"/>
        <v>0</v>
      </c>
      <c r="Q39" s="23"/>
    </row>
    <row r="40" spans="1:17" x14ac:dyDescent="0.3">
      <c r="A40" s="1"/>
      <c r="B40" s="35" t="s">
        <v>28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5"/>
        <v>0</v>
      </c>
      <c r="Q40" s="23"/>
    </row>
    <row r="41" spans="1:17" x14ac:dyDescent="0.3">
      <c r="A41" s="1"/>
      <c r="B41" s="35" t="s">
        <v>29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5"/>
        <v>0</v>
      </c>
      <c r="Q41" s="23"/>
    </row>
    <row r="42" spans="1:17" x14ac:dyDescent="0.3">
      <c r="A42" s="1"/>
      <c r="B42" s="35" t="s">
        <v>30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5"/>
        <v>0</v>
      </c>
      <c r="Q42" s="23"/>
    </row>
    <row r="43" spans="1:17" x14ac:dyDescent="0.3">
      <c r="A43" s="195" t="s">
        <v>31</v>
      </c>
      <c r="B43" s="195"/>
      <c r="C43" s="23"/>
      <c r="D43" s="4">
        <f>SUM(D35:D42)</f>
        <v>0</v>
      </c>
      <c r="E43" s="4">
        <f t="shared" ref="E43:P43" si="6">SUM(E35:E42)</f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  <c r="O43" s="4">
        <f t="shared" si="6"/>
        <v>0</v>
      </c>
      <c r="P43" s="4">
        <f t="shared" si="6"/>
        <v>0</v>
      </c>
      <c r="Q43" s="8">
        <f>SUM(P35:P42)</f>
        <v>0</v>
      </c>
    </row>
    <row r="44" spans="1:17" x14ac:dyDescent="0.3">
      <c r="A44" s="195" t="s">
        <v>32</v>
      </c>
      <c r="B44" s="195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x14ac:dyDescent="0.3">
      <c r="A45" s="1"/>
      <c r="B45" s="35" t="s">
        <v>33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ref="P45:P52" si="7">SUM(D45:O45)</f>
        <v>0</v>
      </c>
      <c r="Q45" s="23"/>
    </row>
    <row r="46" spans="1:17" x14ac:dyDescent="0.3">
      <c r="A46" s="1"/>
      <c r="B46" s="35" t="s">
        <v>34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7"/>
        <v>0</v>
      </c>
      <c r="Q46" s="23"/>
    </row>
    <row r="47" spans="1:17" x14ac:dyDescent="0.3">
      <c r="A47" s="1"/>
      <c r="B47" s="35" t="s">
        <v>35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7"/>
        <v>0</v>
      </c>
      <c r="Q47" s="23"/>
    </row>
    <row r="48" spans="1:17" x14ac:dyDescent="0.3">
      <c r="A48" s="1"/>
      <c r="B48" s="35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7"/>
        <v>0</v>
      </c>
      <c r="Q48" s="23"/>
    </row>
    <row r="49" spans="1:18" x14ac:dyDescent="0.3">
      <c r="A49" s="1"/>
      <c r="B49" s="35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7"/>
        <v>0</v>
      </c>
      <c r="Q49" s="23"/>
    </row>
    <row r="50" spans="1:18" s="42" customFormat="1" x14ac:dyDescent="0.3">
      <c r="A50" s="1"/>
      <c r="B50" s="93" t="s">
        <v>194</v>
      </c>
      <c r="R50" s="47"/>
    </row>
    <row r="51" spans="1:18" x14ac:dyDescent="0.3">
      <c r="A51" s="1"/>
      <c r="B51" s="35" t="s">
        <v>38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>
        <f t="shared" si="7"/>
        <v>0</v>
      </c>
      <c r="Q51" s="23"/>
    </row>
    <row r="52" spans="1:18" x14ac:dyDescent="0.3">
      <c r="A52" s="1"/>
      <c r="B52" s="35" t="s">
        <v>39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>
        <f t="shared" si="7"/>
        <v>0</v>
      </c>
      <c r="Q52" s="23"/>
    </row>
    <row r="53" spans="1:18" x14ac:dyDescent="0.3">
      <c r="A53" s="195" t="s">
        <v>40</v>
      </c>
      <c r="B53" s="195"/>
      <c r="C53" s="23"/>
      <c r="D53" s="4">
        <f>SUM(D45:D52)</f>
        <v>0</v>
      </c>
      <c r="E53" s="4">
        <f t="shared" ref="E53:P53" si="8">SUM(E45:E52)</f>
        <v>0</v>
      </c>
      <c r="F53" s="4">
        <f t="shared" si="8"/>
        <v>0</v>
      </c>
      <c r="G53" s="4">
        <f t="shared" si="8"/>
        <v>0</v>
      </c>
      <c r="H53" s="4">
        <f t="shared" si="8"/>
        <v>0</v>
      </c>
      <c r="I53" s="4">
        <f t="shared" si="8"/>
        <v>0</v>
      </c>
      <c r="J53" s="4">
        <f t="shared" si="8"/>
        <v>0</v>
      </c>
      <c r="K53" s="4">
        <f t="shared" si="8"/>
        <v>0</v>
      </c>
      <c r="L53" s="4">
        <f t="shared" si="8"/>
        <v>0</v>
      </c>
      <c r="M53" s="4">
        <f t="shared" si="8"/>
        <v>0</v>
      </c>
      <c r="N53" s="4">
        <f t="shared" si="8"/>
        <v>0</v>
      </c>
      <c r="O53" s="4">
        <f t="shared" si="8"/>
        <v>0</v>
      </c>
      <c r="P53" s="4">
        <f t="shared" si="8"/>
        <v>0</v>
      </c>
      <c r="Q53" s="8">
        <f>SUM(P52)-P53</f>
        <v>0</v>
      </c>
    </row>
    <row r="54" spans="1:18" x14ac:dyDescent="0.3">
      <c r="A54" s="195" t="s">
        <v>41</v>
      </c>
      <c r="B54" s="195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8" x14ac:dyDescent="0.3">
      <c r="A55" s="1"/>
      <c r="B55" s="35" t="s">
        <v>42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>
        <f t="shared" ref="P55:P83" si="9">SUM(D55:O55)</f>
        <v>0</v>
      </c>
      <c r="Q55" s="23"/>
    </row>
    <row r="56" spans="1:18" x14ac:dyDescent="0.3">
      <c r="A56" s="1"/>
      <c r="B56" s="35" t="s">
        <v>43</v>
      </c>
      <c r="C56" s="23"/>
      <c r="D56" s="4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>
        <f t="shared" si="9"/>
        <v>0</v>
      </c>
      <c r="Q56" s="23"/>
    </row>
    <row r="57" spans="1:18" x14ac:dyDescent="0.3">
      <c r="A57" s="1"/>
      <c r="B57" s="35" t="s">
        <v>44</v>
      </c>
      <c r="C57" s="23"/>
      <c r="D57" s="4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>
        <f t="shared" si="9"/>
        <v>0</v>
      </c>
      <c r="Q57" s="23"/>
    </row>
    <row r="58" spans="1:18" ht="28.8" x14ac:dyDescent="0.3">
      <c r="A58" s="1"/>
      <c r="B58" s="35" t="s">
        <v>45</v>
      </c>
      <c r="C58" s="23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23">
        <f t="shared" si="9"/>
        <v>0</v>
      </c>
      <c r="Q58" s="23"/>
      <c r="R58" s="47" t="s">
        <v>178</v>
      </c>
    </row>
    <row r="59" spans="1:18" x14ac:dyDescent="0.3">
      <c r="A59" s="1"/>
      <c r="B59" s="35" t="s">
        <v>46</v>
      </c>
      <c r="C59" s="23"/>
      <c r="D59" s="4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9"/>
        <v>0</v>
      </c>
      <c r="Q59" s="23"/>
    </row>
    <row r="60" spans="1:18" x14ac:dyDescent="0.3">
      <c r="A60" s="1"/>
      <c r="B60" s="35" t="s">
        <v>47</v>
      </c>
      <c r="C60" s="23"/>
      <c r="D60" s="4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9"/>
        <v>0</v>
      </c>
      <c r="Q60" s="23"/>
    </row>
    <row r="61" spans="1:18" x14ac:dyDescent="0.3">
      <c r="A61" s="1"/>
      <c r="B61" s="35" t="s">
        <v>48</v>
      </c>
      <c r="C61" s="23"/>
      <c r="D61" s="4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9"/>
        <v>0</v>
      </c>
      <c r="Q61" s="23"/>
    </row>
    <row r="62" spans="1:18" x14ac:dyDescent="0.3">
      <c r="A62" s="1"/>
      <c r="B62" s="35" t="s">
        <v>49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9"/>
        <v>0</v>
      </c>
      <c r="Q62" s="23"/>
    </row>
    <row r="63" spans="1:18" x14ac:dyDescent="0.3">
      <c r="A63" s="1"/>
      <c r="B63" s="35" t="s">
        <v>50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9"/>
        <v>0</v>
      </c>
      <c r="Q63" s="23"/>
    </row>
    <row r="64" spans="1:18" x14ac:dyDescent="0.3">
      <c r="A64" s="1"/>
      <c r="B64" s="35" t="s">
        <v>51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9"/>
        <v>0</v>
      </c>
      <c r="Q64" s="23"/>
    </row>
    <row r="65" spans="1:17" x14ac:dyDescent="0.3">
      <c r="A65" s="1"/>
      <c r="B65" s="35" t="s">
        <v>52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9"/>
        <v>0</v>
      </c>
      <c r="Q65" s="23"/>
    </row>
    <row r="66" spans="1:17" x14ac:dyDescent="0.3">
      <c r="A66" s="1"/>
      <c r="B66" s="35" t="s">
        <v>53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9"/>
        <v>0</v>
      </c>
      <c r="Q66" s="23"/>
    </row>
    <row r="67" spans="1:17" x14ac:dyDescent="0.3">
      <c r="A67" s="1"/>
      <c r="B67" s="35" t="s">
        <v>54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9"/>
        <v>0</v>
      </c>
      <c r="Q67" s="23"/>
    </row>
    <row r="68" spans="1:17" x14ac:dyDescent="0.3">
      <c r="A68" s="1"/>
      <c r="B68" s="35" t="s">
        <v>55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9"/>
        <v>0</v>
      </c>
      <c r="Q68" s="23"/>
    </row>
    <row r="69" spans="1:17" x14ac:dyDescent="0.3">
      <c r="A69" s="1"/>
      <c r="B69" s="35" t="s">
        <v>56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9"/>
        <v>0</v>
      </c>
      <c r="Q69" s="23"/>
    </row>
    <row r="70" spans="1:17" x14ac:dyDescent="0.3">
      <c r="A70" s="1"/>
      <c r="B70" s="35" t="s">
        <v>57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9"/>
        <v>0</v>
      </c>
      <c r="Q70" s="23"/>
    </row>
    <row r="71" spans="1:17" x14ac:dyDescent="0.3">
      <c r="A71" s="1"/>
      <c r="B71" s="35" t="s">
        <v>58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9"/>
        <v>0</v>
      </c>
      <c r="Q71" s="23"/>
    </row>
    <row r="72" spans="1:17" x14ac:dyDescent="0.3">
      <c r="A72" s="1"/>
      <c r="B72" s="35" t="s">
        <v>59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9"/>
        <v>0</v>
      </c>
      <c r="Q72" s="23"/>
    </row>
    <row r="73" spans="1:17" x14ac:dyDescent="0.3">
      <c r="A73" s="1"/>
      <c r="B73" s="35" t="s">
        <v>60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>
        <f t="shared" si="9"/>
        <v>0</v>
      </c>
      <c r="Q73" s="23"/>
    </row>
    <row r="74" spans="1:17" x14ac:dyDescent="0.3">
      <c r="A74" s="1"/>
      <c r="B74" s="35" t="s">
        <v>61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>
        <f t="shared" si="9"/>
        <v>0</v>
      </c>
      <c r="Q74" s="23"/>
    </row>
    <row r="75" spans="1:17" x14ac:dyDescent="0.3">
      <c r="A75" s="1"/>
      <c r="B75" s="35" t="s">
        <v>62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>
        <f t="shared" si="9"/>
        <v>0</v>
      </c>
      <c r="Q75" s="23"/>
    </row>
    <row r="76" spans="1:17" x14ac:dyDescent="0.3">
      <c r="A76" s="1"/>
      <c r="B76" s="35" t="s">
        <v>63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>
        <f t="shared" si="9"/>
        <v>0</v>
      </c>
      <c r="Q76" s="23"/>
    </row>
    <row r="77" spans="1:17" x14ac:dyDescent="0.3">
      <c r="A77" s="35" t="s">
        <v>17</v>
      </c>
      <c r="B77" s="35" t="s">
        <v>64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>
        <f t="shared" si="9"/>
        <v>0</v>
      </c>
      <c r="Q77" s="23"/>
    </row>
    <row r="78" spans="1:17" x14ac:dyDescent="0.3">
      <c r="A78" s="1"/>
      <c r="B78" s="35" t="s">
        <v>65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>
        <f t="shared" si="9"/>
        <v>0</v>
      </c>
      <c r="Q78" s="23"/>
    </row>
    <row r="79" spans="1:17" x14ac:dyDescent="0.3">
      <c r="A79" s="1"/>
      <c r="B79" s="1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>
        <f t="shared" si="9"/>
        <v>0</v>
      </c>
      <c r="Q79" s="23"/>
    </row>
    <row r="80" spans="1:17" x14ac:dyDescent="0.3">
      <c r="A80" s="1"/>
      <c r="B80" s="35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>
        <f t="shared" si="9"/>
        <v>0</v>
      </c>
      <c r="Q80" s="23"/>
    </row>
    <row r="81" spans="1:17" x14ac:dyDescent="0.3">
      <c r="A81" s="1"/>
      <c r="B81" s="35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>
        <f t="shared" si="9"/>
        <v>0</v>
      </c>
      <c r="Q81" s="23"/>
    </row>
    <row r="82" spans="1:17" x14ac:dyDescent="0.3">
      <c r="A82" s="1"/>
      <c r="B82" s="35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>
        <f t="shared" si="9"/>
        <v>0</v>
      </c>
      <c r="Q82" s="23"/>
    </row>
    <row r="83" spans="1:17" x14ac:dyDescent="0.3">
      <c r="A83" s="1"/>
      <c r="B83" s="35"/>
      <c r="C83" s="23"/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f t="shared" si="9"/>
        <v>0</v>
      </c>
      <c r="Q83" s="23"/>
    </row>
    <row r="84" spans="1:17" x14ac:dyDescent="0.3">
      <c r="A84" s="195" t="s">
        <v>66</v>
      </c>
      <c r="B84" s="195"/>
      <c r="C84" s="23"/>
      <c r="D84" s="4">
        <f>SUM(D56:D83)</f>
        <v>0</v>
      </c>
      <c r="E84" s="4">
        <f t="shared" ref="E84:P84" si="10">SUM(E56:E83)</f>
        <v>0</v>
      </c>
      <c r="F84" s="4">
        <f t="shared" si="10"/>
        <v>0</v>
      </c>
      <c r="G84" s="4">
        <f t="shared" si="10"/>
        <v>0</v>
      </c>
      <c r="H84" s="4">
        <f t="shared" si="10"/>
        <v>0</v>
      </c>
      <c r="I84" s="4">
        <f t="shared" si="10"/>
        <v>0</v>
      </c>
      <c r="J84" s="4">
        <f t="shared" si="10"/>
        <v>0</v>
      </c>
      <c r="K84" s="4">
        <f t="shared" si="10"/>
        <v>0</v>
      </c>
      <c r="L84" s="4">
        <f t="shared" si="10"/>
        <v>0</v>
      </c>
      <c r="M84" s="4">
        <f t="shared" si="10"/>
        <v>0</v>
      </c>
      <c r="N84" s="4">
        <f t="shared" si="10"/>
        <v>0</v>
      </c>
      <c r="O84" s="4">
        <f t="shared" si="10"/>
        <v>0</v>
      </c>
      <c r="P84" s="4">
        <f t="shared" si="10"/>
        <v>0</v>
      </c>
      <c r="Q84" s="8">
        <f>SUM(P55:P83)-P84</f>
        <v>0</v>
      </c>
    </row>
    <row r="85" spans="1:17" x14ac:dyDescent="0.3">
      <c r="A85" s="195" t="s">
        <v>67</v>
      </c>
      <c r="B85" s="195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3">
      <c r="A86" s="1"/>
      <c r="B86" s="35" t="s">
        <v>68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>
        <f t="shared" ref="P86:P104" si="11">SUM(D86:O86)</f>
        <v>0</v>
      </c>
      <c r="Q86" s="23"/>
    </row>
    <row r="87" spans="1:17" x14ac:dyDescent="0.3">
      <c r="A87" s="1"/>
      <c r="B87" s="35" t="s">
        <v>69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>
        <f t="shared" si="11"/>
        <v>0</v>
      </c>
      <c r="Q87" s="23"/>
    </row>
    <row r="88" spans="1:17" x14ac:dyDescent="0.3">
      <c r="A88" s="1"/>
      <c r="B88" s="35" t="s">
        <v>70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>
        <f t="shared" si="11"/>
        <v>0</v>
      </c>
      <c r="Q88" s="23"/>
    </row>
    <row r="89" spans="1:17" x14ac:dyDescent="0.3">
      <c r="A89" s="1"/>
      <c r="B89" s="35" t="s">
        <v>71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>
        <f t="shared" si="11"/>
        <v>0</v>
      </c>
      <c r="Q89" s="23"/>
    </row>
    <row r="90" spans="1:17" x14ac:dyDescent="0.3">
      <c r="A90" s="1"/>
      <c r="B90" s="35" t="s">
        <v>72</v>
      </c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>
        <f t="shared" si="11"/>
        <v>0</v>
      </c>
      <c r="Q90" s="23"/>
    </row>
    <row r="91" spans="1:17" x14ac:dyDescent="0.3">
      <c r="A91" s="1"/>
      <c r="B91" s="35" t="s">
        <v>73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>
        <f t="shared" si="11"/>
        <v>0</v>
      </c>
      <c r="Q91" s="23"/>
    </row>
    <row r="92" spans="1:17" x14ac:dyDescent="0.3">
      <c r="A92" s="1"/>
      <c r="B92" s="35" t="s">
        <v>74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>
        <f t="shared" si="11"/>
        <v>0</v>
      </c>
      <c r="Q92" s="23"/>
    </row>
    <row r="93" spans="1:17" x14ac:dyDescent="0.3">
      <c r="A93" s="1"/>
      <c r="B93" s="35" t="s">
        <v>75</v>
      </c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>
        <f t="shared" si="11"/>
        <v>0</v>
      </c>
      <c r="Q93" s="23"/>
    </row>
    <row r="94" spans="1:17" x14ac:dyDescent="0.3">
      <c r="A94" s="1"/>
      <c r="B94" s="35" t="s">
        <v>76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>
        <f t="shared" si="11"/>
        <v>0</v>
      </c>
      <c r="Q94" s="23"/>
    </row>
    <row r="95" spans="1:17" x14ac:dyDescent="0.3">
      <c r="A95" s="1"/>
      <c r="B95" s="35" t="s">
        <v>77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>
        <f t="shared" si="11"/>
        <v>0</v>
      </c>
      <c r="Q95" s="23"/>
    </row>
    <row r="96" spans="1:17" x14ac:dyDescent="0.3">
      <c r="A96" s="1"/>
      <c r="B96" s="35" t="s">
        <v>78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>
        <f t="shared" si="11"/>
        <v>0</v>
      </c>
      <c r="Q96" s="23"/>
    </row>
    <row r="97" spans="1:17" x14ac:dyDescent="0.3">
      <c r="A97" s="1"/>
      <c r="B97" s="35" t="s">
        <v>79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>
        <f t="shared" si="11"/>
        <v>0</v>
      </c>
      <c r="Q97" s="23"/>
    </row>
    <row r="98" spans="1:17" x14ac:dyDescent="0.3">
      <c r="A98" s="1"/>
      <c r="B98" s="35" t="s">
        <v>80</v>
      </c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>
        <f t="shared" si="11"/>
        <v>0</v>
      </c>
      <c r="Q98" s="23"/>
    </row>
    <row r="99" spans="1:17" x14ac:dyDescent="0.3">
      <c r="A99" s="1"/>
      <c r="B99" s="35" t="s">
        <v>81</v>
      </c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>
        <f t="shared" si="11"/>
        <v>0</v>
      </c>
      <c r="Q99" s="23"/>
    </row>
    <row r="100" spans="1:17" x14ac:dyDescent="0.3">
      <c r="A100" s="1"/>
      <c r="B100" s="35" t="s">
        <v>82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>
        <f t="shared" si="11"/>
        <v>0</v>
      </c>
      <c r="Q100" s="23"/>
    </row>
    <row r="101" spans="1:17" x14ac:dyDescent="0.3">
      <c r="A101" s="1"/>
      <c r="B101" s="35" t="s">
        <v>83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>
        <f t="shared" si="11"/>
        <v>0</v>
      </c>
      <c r="Q101" s="23"/>
    </row>
    <row r="102" spans="1:17" x14ac:dyDescent="0.3">
      <c r="A102" s="1"/>
      <c r="B102" s="1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>
        <f t="shared" si="11"/>
        <v>0</v>
      </c>
      <c r="Q102" s="23"/>
    </row>
    <row r="103" spans="1:17" x14ac:dyDescent="0.3">
      <c r="A103" s="1"/>
      <c r="B103" s="35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>
        <f t="shared" si="11"/>
        <v>0</v>
      </c>
      <c r="Q103" s="23"/>
    </row>
    <row r="104" spans="1:17" x14ac:dyDescent="0.3">
      <c r="A104" s="1"/>
      <c r="B104" s="35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>
        <f t="shared" si="11"/>
        <v>0</v>
      </c>
      <c r="Q104" s="23"/>
    </row>
    <row r="105" spans="1:17" x14ac:dyDescent="0.3">
      <c r="A105" s="195" t="s">
        <v>84</v>
      </c>
      <c r="B105" s="195"/>
      <c r="C105" s="23"/>
      <c r="D105" s="5">
        <f>SUM(D86:D104)</f>
        <v>0</v>
      </c>
      <c r="E105" s="5">
        <f t="shared" ref="E105:P105" si="12">SUM(E86:E104)</f>
        <v>0</v>
      </c>
      <c r="F105" s="5">
        <f t="shared" si="12"/>
        <v>0</v>
      </c>
      <c r="G105" s="5">
        <f t="shared" si="12"/>
        <v>0</v>
      </c>
      <c r="H105" s="5">
        <f t="shared" si="12"/>
        <v>0</v>
      </c>
      <c r="I105" s="5">
        <f t="shared" si="12"/>
        <v>0</v>
      </c>
      <c r="J105" s="5">
        <f t="shared" si="12"/>
        <v>0</v>
      </c>
      <c r="K105" s="5">
        <f t="shared" si="12"/>
        <v>0</v>
      </c>
      <c r="L105" s="5">
        <f t="shared" si="12"/>
        <v>0</v>
      </c>
      <c r="M105" s="5">
        <f t="shared" si="12"/>
        <v>0</v>
      </c>
      <c r="N105" s="5">
        <f t="shared" si="12"/>
        <v>0</v>
      </c>
      <c r="O105" s="5">
        <f t="shared" si="12"/>
        <v>0</v>
      </c>
      <c r="P105" s="5">
        <f t="shared" si="12"/>
        <v>0</v>
      </c>
      <c r="Q105" s="8">
        <f>SUM(P86:P104)-P105</f>
        <v>0</v>
      </c>
    </row>
    <row r="106" spans="1:17" x14ac:dyDescent="0.3">
      <c r="A106" s="1"/>
      <c r="B106" s="35" t="s">
        <v>85</v>
      </c>
      <c r="C106" s="23"/>
      <c r="D106" s="5">
        <f>D105+D84+D53+D43</f>
        <v>0</v>
      </c>
      <c r="E106" s="5">
        <f t="shared" ref="E106:P106" si="13">E105+E84+E53+E43</f>
        <v>0</v>
      </c>
      <c r="F106" s="5">
        <f t="shared" si="13"/>
        <v>0</v>
      </c>
      <c r="G106" s="5">
        <f t="shared" si="13"/>
        <v>0</v>
      </c>
      <c r="H106" s="5">
        <f t="shared" si="13"/>
        <v>0</v>
      </c>
      <c r="I106" s="5">
        <f t="shared" si="13"/>
        <v>0</v>
      </c>
      <c r="J106" s="5">
        <f t="shared" si="13"/>
        <v>0</v>
      </c>
      <c r="K106" s="5">
        <f t="shared" si="13"/>
        <v>0</v>
      </c>
      <c r="L106" s="5">
        <f t="shared" si="13"/>
        <v>0</v>
      </c>
      <c r="M106" s="5">
        <f t="shared" si="13"/>
        <v>0</v>
      </c>
      <c r="N106" s="5">
        <f t="shared" si="13"/>
        <v>0</v>
      </c>
      <c r="O106" s="5">
        <f t="shared" si="13"/>
        <v>0</v>
      </c>
      <c r="P106" s="5">
        <f t="shared" si="13"/>
        <v>0</v>
      </c>
      <c r="Q106" s="23"/>
    </row>
    <row r="107" spans="1:17" x14ac:dyDescent="0.3">
      <c r="A107" s="1"/>
      <c r="B107" s="35" t="s">
        <v>86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ht="15" thickBot="1" x14ac:dyDescent="0.35">
      <c r="A109" s="23"/>
      <c r="B109" s="23" t="s">
        <v>112</v>
      </c>
      <c r="C109" s="23"/>
      <c r="D109" s="7">
        <f>D32-D106-D107</f>
        <v>0</v>
      </c>
      <c r="E109" s="7">
        <f t="shared" ref="E109:P109" si="14">E32-E106-E107</f>
        <v>0</v>
      </c>
      <c r="F109" s="7">
        <f t="shared" si="14"/>
        <v>0</v>
      </c>
      <c r="G109" s="7">
        <f t="shared" si="14"/>
        <v>0</v>
      </c>
      <c r="H109" s="7">
        <f t="shared" si="14"/>
        <v>0</v>
      </c>
      <c r="I109" s="7">
        <f t="shared" si="14"/>
        <v>0</v>
      </c>
      <c r="J109" s="7">
        <f t="shared" si="14"/>
        <v>0</v>
      </c>
      <c r="K109" s="7">
        <f t="shared" si="14"/>
        <v>0</v>
      </c>
      <c r="L109" s="7">
        <f t="shared" si="14"/>
        <v>0</v>
      </c>
      <c r="M109" s="7">
        <f t="shared" si="14"/>
        <v>0</v>
      </c>
      <c r="N109" s="7">
        <f t="shared" si="14"/>
        <v>0</v>
      </c>
      <c r="O109" s="7">
        <f t="shared" si="14"/>
        <v>0</v>
      </c>
      <c r="P109" s="7">
        <f t="shared" si="14"/>
        <v>0</v>
      </c>
      <c r="Q109" s="23"/>
    </row>
    <row r="110" spans="1:17" ht="15" thickTop="1" x14ac:dyDescent="0.3"/>
  </sheetData>
  <mergeCells count="16"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  <mergeCell ref="A19:B19"/>
    <mergeCell ref="A4:B4"/>
    <mergeCell ref="A5:B5"/>
    <mergeCell ref="A12:B12"/>
    <mergeCell ref="A13:B13"/>
    <mergeCell ref="A18:B18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T168"/>
  <sheetViews>
    <sheetView zoomScale="91" zoomScaleNormal="91"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B14" sqref="B14:B17"/>
    </sheetView>
  </sheetViews>
  <sheetFormatPr defaultRowHeight="14.4" x14ac:dyDescent="0.3"/>
  <cols>
    <col min="2" max="2" width="29.88671875" customWidth="1"/>
    <col min="3" max="3" width="2" customWidth="1"/>
    <col min="16" max="16" width="9.109375" style="43"/>
    <col min="17" max="17" width="2.44140625" customWidth="1"/>
    <col min="18" max="18" width="45.5546875" style="47" customWidth="1"/>
  </cols>
  <sheetData>
    <row r="1" spans="1:18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Q1" s="23"/>
    </row>
    <row r="2" spans="1:18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Q2" s="23"/>
    </row>
    <row r="3" spans="1:18" x14ac:dyDescent="0.3">
      <c r="A3" s="23"/>
      <c r="B3" s="23"/>
      <c r="C3" s="23"/>
      <c r="D3" s="3" t="s">
        <v>100</v>
      </c>
      <c r="E3" s="3" t="s">
        <v>101</v>
      </c>
      <c r="F3" s="3" t="s">
        <v>102</v>
      </c>
      <c r="G3" s="3" t="s">
        <v>103</v>
      </c>
      <c r="H3" s="3" t="s">
        <v>104</v>
      </c>
      <c r="I3" s="3" t="s">
        <v>105</v>
      </c>
      <c r="J3" s="3" t="s">
        <v>106</v>
      </c>
      <c r="K3" s="3" t="s">
        <v>107</v>
      </c>
      <c r="L3" s="3" t="s">
        <v>108</v>
      </c>
      <c r="M3" s="3" t="s">
        <v>109</v>
      </c>
      <c r="N3" s="3" t="s">
        <v>110</v>
      </c>
      <c r="O3" s="3" t="s">
        <v>111</v>
      </c>
      <c r="P3" s="9" t="s">
        <v>113</v>
      </c>
      <c r="Q3" s="23"/>
      <c r="R3" s="48" t="s">
        <v>151</v>
      </c>
    </row>
    <row r="4" spans="1:18" x14ac:dyDescent="0.3">
      <c r="A4" s="195" t="s">
        <v>99</v>
      </c>
      <c r="B4" s="19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Q4" s="23"/>
    </row>
    <row r="5" spans="1:18" x14ac:dyDescent="0.3">
      <c r="A5" s="195" t="s">
        <v>1</v>
      </c>
      <c r="B5" s="195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Q5" s="23"/>
    </row>
    <row r="6" spans="1:18" x14ac:dyDescent="0.3">
      <c r="A6" s="1"/>
      <c r="B6" s="94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43">
        <f>SUM(D6:O6)</f>
        <v>0</v>
      </c>
      <c r="Q6" s="23"/>
    </row>
    <row r="7" spans="1:18" x14ac:dyDescent="0.3">
      <c r="A7" s="1"/>
      <c r="B7" s="94" t="s">
        <v>204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43">
        <f>SUM(D7:O7)</f>
        <v>0</v>
      </c>
      <c r="Q7" s="23"/>
    </row>
    <row r="8" spans="1:18" s="42" customFormat="1" x14ac:dyDescent="0.3">
      <c r="A8" s="1"/>
      <c r="B8" s="94" t="s">
        <v>205</v>
      </c>
      <c r="P8" s="43"/>
      <c r="R8" s="47"/>
    </row>
    <row r="9" spans="1:18" x14ac:dyDescent="0.3">
      <c r="A9" s="1"/>
      <c r="B9" s="94" t="s">
        <v>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43">
        <f>SUM(D9:O9)</f>
        <v>0</v>
      </c>
      <c r="Q9" s="23"/>
    </row>
    <row r="10" spans="1:18" s="42" customFormat="1" x14ac:dyDescent="0.3">
      <c r="A10" s="1"/>
      <c r="B10" s="94" t="s">
        <v>206</v>
      </c>
      <c r="P10" s="43"/>
      <c r="R10" s="47"/>
    </row>
    <row r="11" spans="1:18" x14ac:dyDescent="0.3">
      <c r="A11" s="1"/>
      <c r="B11" s="94" t="s">
        <v>207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43">
        <f>SUM(D11:O11)</f>
        <v>0</v>
      </c>
      <c r="Q11" s="23"/>
    </row>
    <row r="12" spans="1:18" x14ac:dyDescent="0.3">
      <c r="A12" s="195" t="s">
        <v>6</v>
      </c>
      <c r="B12" s="195"/>
      <c r="C12" s="23"/>
      <c r="D12" s="4">
        <f>SUM(D6:D11)</f>
        <v>0</v>
      </c>
      <c r="E12" s="4">
        <f t="shared" ref="E12:P12" si="0">SUM(E6:E11)</f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28">
        <f t="shared" si="0"/>
        <v>0</v>
      </c>
      <c r="Q12" s="8">
        <f>P12-P6-P7-P9-P11</f>
        <v>0</v>
      </c>
    </row>
    <row r="13" spans="1:18" x14ac:dyDescent="0.3">
      <c r="A13" s="195" t="s">
        <v>7</v>
      </c>
      <c r="B13" s="195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Q13" s="23"/>
    </row>
    <row r="14" spans="1:18" x14ac:dyDescent="0.3">
      <c r="A14" s="1"/>
      <c r="B14" s="97" t="s">
        <v>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43">
        <f>SUM(D14:O14)</f>
        <v>0</v>
      </c>
      <c r="Q14" s="23"/>
    </row>
    <row r="15" spans="1:18" x14ac:dyDescent="0.3">
      <c r="A15" s="1"/>
      <c r="B15" s="97" t="s">
        <v>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3">
        <f>SUM(D15:O15)</f>
        <v>0</v>
      </c>
      <c r="Q15" s="23"/>
    </row>
    <row r="16" spans="1:18" x14ac:dyDescent="0.3">
      <c r="A16" s="1"/>
      <c r="B16" s="97" t="s">
        <v>219</v>
      </c>
      <c r="C16" s="23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43">
        <f>SUM(D16:O16)</f>
        <v>0</v>
      </c>
      <c r="Q16" s="23"/>
    </row>
    <row r="17" spans="1:17" x14ac:dyDescent="0.3">
      <c r="A17" s="1"/>
      <c r="B17" s="66" t="s">
        <v>16</v>
      </c>
      <c r="C17" s="23"/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43">
        <f>SUM(D17:O17)</f>
        <v>0</v>
      </c>
      <c r="Q17" s="23"/>
    </row>
    <row r="18" spans="1:17" x14ac:dyDescent="0.3">
      <c r="A18" s="195" t="s">
        <v>10</v>
      </c>
      <c r="B18" s="195"/>
      <c r="C18" s="23"/>
      <c r="D18" s="4">
        <f>SUM(D14:D17)</f>
        <v>0</v>
      </c>
      <c r="E18" s="4">
        <f t="shared" ref="E18:P18" si="1">SUM(E14:E17)</f>
        <v>0</v>
      </c>
      <c r="F18" s="4">
        <f t="shared" si="1"/>
        <v>0</v>
      </c>
      <c r="G18" s="4">
        <f t="shared" si="1"/>
        <v>0</v>
      </c>
      <c r="H18" s="4">
        <f t="shared" si="1"/>
        <v>0</v>
      </c>
      <c r="I18" s="4">
        <f t="shared" si="1"/>
        <v>0</v>
      </c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0</v>
      </c>
      <c r="N18" s="4">
        <f t="shared" si="1"/>
        <v>0</v>
      </c>
      <c r="O18" s="4">
        <f t="shared" si="1"/>
        <v>0</v>
      </c>
      <c r="P18" s="28">
        <f t="shared" si="1"/>
        <v>0</v>
      </c>
      <c r="Q18" s="8">
        <f>P18-P14-P15-P16-P17</f>
        <v>0</v>
      </c>
    </row>
    <row r="19" spans="1:17" x14ac:dyDescent="0.3">
      <c r="A19" s="195" t="s">
        <v>11</v>
      </c>
      <c r="B19" s="19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Q19" s="23"/>
    </row>
    <row r="20" spans="1:17" x14ac:dyDescent="0.3">
      <c r="A20" s="1"/>
      <c r="B20" s="35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43">
        <f t="shared" ref="P20:P25" si="2">SUM(D20:O20)</f>
        <v>0</v>
      </c>
      <c r="Q20" s="23"/>
    </row>
    <row r="21" spans="1:17" x14ac:dyDescent="0.3">
      <c r="A21" s="1"/>
      <c r="B21" s="35" t="s">
        <v>96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43">
        <f t="shared" si="2"/>
        <v>0</v>
      </c>
      <c r="Q21" s="23"/>
    </row>
    <row r="22" spans="1:17" x14ac:dyDescent="0.3">
      <c r="A22" s="1"/>
      <c r="B22" s="35" t="s">
        <v>97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3">
        <f t="shared" si="2"/>
        <v>0</v>
      </c>
      <c r="Q22" s="23"/>
    </row>
    <row r="23" spans="1:17" x14ac:dyDescent="0.3">
      <c r="A23" s="1"/>
      <c r="B23" s="35" t="s">
        <v>13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43">
        <f t="shared" si="2"/>
        <v>0</v>
      </c>
      <c r="Q23" s="23"/>
    </row>
    <row r="24" spans="1:17" x14ac:dyDescent="0.3">
      <c r="A24" s="1"/>
      <c r="B24" s="35" t="s">
        <v>14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43">
        <f t="shared" si="2"/>
        <v>0</v>
      </c>
      <c r="Q24" s="23"/>
    </row>
    <row r="25" spans="1:17" x14ac:dyDescent="0.3">
      <c r="A25" s="1"/>
      <c r="B25" s="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3">
        <f t="shared" si="2"/>
        <v>0</v>
      </c>
      <c r="Q25" s="23"/>
    </row>
    <row r="26" spans="1:17" x14ac:dyDescent="0.3">
      <c r="A26" s="195" t="s">
        <v>15</v>
      </c>
      <c r="B26" s="195"/>
      <c r="C26" s="23"/>
      <c r="D26" s="4">
        <f>SUM(D20:D25)</f>
        <v>0</v>
      </c>
      <c r="E26" s="4">
        <f t="shared" ref="E26:P26" si="3">SUM(E20:E25)</f>
        <v>0</v>
      </c>
      <c r="F26" s="4">
        <f t="shared" si="3"/>
        <v>0</v>
      </c>
      <c r="G26" s="4">
        <f t="shared" si="3"/>
        <v>0</v>
      </c>
      <c r="H26" s="4">
        <f t="shared" si="3"/>
        <v>0</v>
      </c>
      <c r="I26" s="4">
        <f t="shared" si="3"/>
        <v>0</v>
      </c>
      <c r="J26" s="4">
        <f t="shared" si="3"/>
        <v>0</v>
      </c>
      <c r="K26" s="4">
        <f t="shared" si="3"/>
        <v>0</v>
      </c>
      <c r="L26" s="4">
        <f t="shared" si="3"/>
        <v>0</v>
      </c>
      <c r="M26" s="4">
        <f t="shared" si="3"/>
        <v>0</v>
      </c>
      <c r="N26" s="4">
        <f t="shared" si="3"/>
        <v>0</v>
      </c>
      <c r="O26" s="4">
        <f t="shared" si="3"/>
        <v>0</v>
      </c>
      <c r="P26" s="28">
        <f t="shared" si="3"/>
        <v>0</v>
      </c>
      <c r="Q26" s="8">
        <f>SUM(P20:P25)-P26</f>
        <v>0</v>
      </c>
    </row>
    <row r="27" spans="1:17" x14ac:dyDescent="0.3">
      <c r="A27" s="195" t="s">
        <v>16</v>
      </c>
      <c r="B27" s="195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Q27" s="23"/>
    </row>
    <row r="28" spans="1:17" x14ac:dyDescent="0.3">
      <c r="A28" s="35" t="s">
        <v>17</v>
      </c>
      <c r="B28" s="35" t="s">
        <v>18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43">
        <f>SUM(D28:O28)</f>
        <v>0</v>
      </c>
      <c r="Q28" s="23"/>
    </row>
    <row r="29" spans="1:17" x14ac:dyDescent="0.3">
      <c r="A29" s="35" t="s">
        <v>17</v>
      </c>
      <c r="B29" s="35" t="s">
        <v>19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43">
        <f>SUM(D29:O29)</f>
        <v>0</v>
      </c>
      <c r="Q29" s="23"/>
    </row>
    <row r="30" spans="1:17" x14ac:dyDescent="0.3">
      <c r="A30" s="35" t="s">
        <v>17</v>
      </c>
      <c r="B30" s="35" t="s">
        <v>20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43">
        <f>SUM(D30:O30)</f>
        <v>0</v>
      </c>
      <c r="Q30" s="23"/>
    </row>
    <row r="31" spans="1:17" x14ac:dyDescent="0.3">
      <c r="A31" s="35" t="s">
        <v>17</v>
      </c>
      <c r="B31" s="35" t="s">
        <v>21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43">
        <f>SUM(D31:O31)</f>
        <v>0</v>
      </c>
      <c r="Q31" s="23"/>
    </row>
    <row r="32" spans="1:17" x14ac:dyDescent="0.3">
      <c r="A32" s="1"/>
      <c r="B32" s="1"/>
      <c r="C32" s="23"/>
      <c r="D32" s="5">
        <f>D12+D18+D26+D28+D29+D30+D31</f>
        <v>0</v>
      </c>
      <c r="E32" s="5">
        <f t="shared" ref="E32:P32" si="4">E12+E18+E26+E28+E29+E30+E31</f>
        <v>0</v>
      </c>
      <c r="F32" s="5">
        <f t="shared" si="4"/>
        <v>0</v>
      </c>
      <c r="G32" s="5">
        <f t="shared" si="4"/>
        <v>0</v>
      </c>
      <c r="H32" s="5">
        <f t="shared" si="4"/>
        <v>0</v>
      </c>
      <c r="I32" s="5">
        <f t="shared" si="4"/>
        <v>0</v>
      </c>
      <c r="J32" s="5">
        <f t="shared" si="4"/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>
        <f t="shared" si="4"/>
        <v>0</v>
      </c>
      <c r="O32" s="5">
        <f t="shared" si="4"/>
        <v>0</v>
      </c>
      <c r="P32" s="30">
        <f t="shared" si="4"/>
        <v>0</v>
      </c>
      <c r="Q32" s="8">
        <f>SUM(P28:P31)*P32</f>
        <v>0</v>
      </c>
    </row>
    <row r="33" spans="1:17" x14ac:dyDescent="0.3">
      <c r="A33" s="1"/>
      <c r="B33" s="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Q33" s="23"/>
    </row>
    <row r="34" spans="1:17" x14ac:dyDescent="0.3">
      <c r="A34" s="195" t="s">
        <v>22</v>
      </c>
      <c r="B34" s="19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Q34" s="23"/>
    </row>
    <row r="35" spans="1:17" x14ac:dyDescent="0.3">
      <c r="A35" s="1"/>
      <c r="B35" s="35" t="s">
        <v>23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43">
        <f>SUM(D35:O35)</f>
        <v>0</v>
      </c>
      <c r="Q35" s="23"/>
    </row>
    <row r="36" spans="1:17" x14ac:dyDescent="0.3">
      <c r="A36" s="1"/>
      <c r="B36" s="35" t="s">
        <v>24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43">
        <f t="shared" ref="P36:P42" si="5">SUM(D36:O36)</f>
        <v>0</v>
      </c>
      <c r="Q36" s="23"/>
    </row>
    <row r="37" spans="1:17" x14ac:dyDescent="0.3">
      <c r="A37" s="1"/>
      <c r="B37" s="35" t="s">
        <v>25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43">
        <f t="shared" si="5"/>
        <v>0</v>
      </c>
      <c r="Q37" s="23"/>
    </row>
    <row r="38" spans="1:17" x14ac:dyDescent="0.3">
      <c r="A38" s="1"/>
      <c r="B38" s="35" t="s">
        <v>26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43">
        <f t="shared" si="5"/>
        <v>0</v>
      </c>
      <c r="Q38" s="23"/>
    </row>
    <row r="39" spans="1:17" x14ac:dyDescent="0.3">
      <c r="A39" s="1"/>
      <c r="B39" s="35" t="s">
        <v>27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43">
        <f t="shared" si="5"/>
        <v>0</v>
      </c>
      <c r="Q39" s="23"/>
    </row>
    <row r="40" spans="1:17" x14ac:dyDescent="0.3">
      <c r="A40" s="1"/>
      <c r="B40" s="35" t="s">
        <v>28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43">
        <f t="shared" si="5"/>
        <v>0</v>
      </c>
      <c r="Q40" s="23"/>
    </row>
    <row r="41" spans="1:17" x14ac:dyDescent="0.3">
      <c r="A41" s="1"/>
      <c r="B41" s="35" t="s">
        <v>29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43">
        <f t="shared" si="5"/>
        <v>0</v>
      </c>
      <c r="Q41" s="23"/>
    </row>
    <row r="42" spans="1:17" x14ac:dyDescent="0.3">
      <c r="A42" s="1"/>
      <c r="B42" s="35" t="s">
        <v>30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43">
        <f t="shared" si="5"/>
        <v>0</v>
      </c>
      <c r="Q42" s="23"/>
    </row>
    <row r="43" spans="1:17" x14ac:dyDescent="0.3">
      <c r="A43" s="195" t="s">
        <v>31</v>
      </c>
      <c r="B43" s="195"/>
      <c r="C43" s="23"/>
      <c r="D43" s="4">
        <f>SUM(D35:D42)</f>
        <v>0</v>
      </c>
      <c r="E43" s="4">
        <f t="shared" ref="E43:P43" si="6">SUM(E35:E42)</f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  <c r="O43" s="4">
        <f t="shared" si="6"/>
        <v>0</v>
      </c>
      <c r="P43" s="28">
        <f t="shared" si="6"/>
        <v>0</v>
      </c>
      <c r="Q43" s="8">
        <f>SUM(P35:P42)</f>
        <v>0</v>
      </c>
    </row>
    <row r="44" spans="1:17" x14ac:dyDescent="0.3">
      <c r="A44" s="195" t="s">
        <v>32</v>
      </c>
      <c r="B44" s="195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Q44" s="23"/>
    </row>
    <row r="45" spans="1:17" x14ac:dyDescent="0.3">
      <c r="A45" s="1"/>
      <c r="B45" s="35" t="s">
        <v>33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43">
        <f t="shared" ref="P45:P52" si="7">SUM(D45:O45)</f>
        <v>0</v>
      </c>
      <c r="Q45" s="23"/>
    </row>
    <row r="46" spans="1:17" x14ac:dyDescent="0.3">
      <c r="A46" s="1"/>
      <c r="B46" s="35" t="s">
        <v>34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43">
        <f t="shared" si="7"/>
        <v>0</v>
      </c>
      <c r="Q46" s="23"/>
    </row>
    <row r="47" spans="1:17" x14ac:dyDescent="0.3">
      <c r="A47" s="1"/>
      <c r="B47" s="35" t="s">
        <v>35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43">
        <f t="shared" si="7"/>
        <v>0</v>
      </c>
      <c r="Q47" s="23"/>
    </row>
    <row r="48" spans="1:17" x14ac:dyDescent="0.3">
      <c r="A48" s="1"/>
      <c r="B48" s="35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43">
        <f t="shared" si="7"/>
        <v>0</v>
      </c>
      <c r="Q48" s="23"/>
    </row>
    <row r="49" spans="1:18" x14ac:dyDescent="0.3">
      <c r="A49" s="1"/>
      <c r="B49" s="35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43">
        <f t="shared" si="7"/>
        <v>0</v>
      </c>
      <c r="Q49" s="23"/>
    </row>
    <row r="50" spans="1:18" s="42" customFormat="1" x14ac:dyDescent="0.3">
      <c r="A50" s="1"/>
      <c r="B50" s="93" t="s">
        <v>194</v>
      </c>
      <c r="P50" s="43">
        <f t="shared" si="7"/>
        <v>0</v>
      </c>
      <c r="R50" s="47"/>
    </row>
    <row r="51" spans="1:18" x14ac:dyDescent="0.3">
      <c r="A51" s="1"/>
      <c r="B51" s="35" t="s">
        <v>38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43">
        <f t="shared" si="7"/>
        <v>0</v>
      </c>
      <c r="Q51" s="23"/>
    </row>
    <row r="52" spans="1:18" x14ac:dyDescent="0.3">
      <c r="A52" s="1"/>
      <c r="B52" s="35" t="s">
        <v>39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43">
        <f t="shared" si="7"/>
        <v>0</v>
      </c>
      <c r="Q52" s="23"/>
    </row>
    <row r="53" spans="1:18" x14ac:dyDescent="0.3">
      <c r="A53" s="195" t="s">
        <v>40</v>
      </c>
      <c r="B53" s="195"/>
      <c r="C53" s="23"/>
      <c r="D53" s="4">
        <f>SUM(D45:D52)</f>
        <v>0</v>
      </c>
      <c r="E53" s="4">
        <f t="shared" ref="E53:P53" si="8">SUM(E45:E52)</f>
        <v>0</v>
      </c>
      <c r="F53" s="4">
        <f t="shared" si="8"/>
        <v>0</v>
      </c>
      <c r="G53" s="4">
        <f t="shared" si="8"/>
        <v>0</v>
      </c>
      <c r="H53" s="4">
        <f t="shared" si="8"/>
        <v>0</v>
      </c>
      <c r="I53" s="4">
        <f t="shared" si="8"/>
        <v>0</v>
      </c>
      <c r="J53" s="4">
        <f t="shared" si="8"/>
        <v>0</v>
      </c>
      <c r="K53" s="4">
        <f t="shared" si="8"/>
        <v>0</v>
      </c>
      <c r="L53" s="4">
        <f t="shared" si="8"/>
        <v>0</v>
      </c>
      <c r="M53" s="4">
        <f t="shared" si="8"/>
        <v>0</v>
      </c>
      <c r="N53" s="4">
        <f t="shared" si="8"/>
        <v>0</v>
      </c>
      <c r="O53" s="4">
        <f t="shared" si="8"/>
        <v>0</v>
      </c>
      <c r="P53" s="28">
        <f t="shared" si="8"/>
        <v>0</v>
      </c>
      <c r="Q53" s="8">
        <f>SUM(P52)-P53</f>
        <v>0</v>
      </c>
    </row>
    <row r="54" spans="1:18" x14ac:dyDescent="0.3">
      <c r="A54" s="195" t="s">
        <v>41</v>
      </c>
      <c r="B54" s="195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Q54" s="23"/>
    </row>
    <row r="55" spans="1:18" x14ac:dyDescent="0.3">
      <c r="A55" s="1"/>
      <c r="B55" s="35" t="s">
        <v>42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43">
        <f t="shared" ref="P55:P83" si="9">SUM(D55:O55)</f>
        <v>0</v>
      </c>
      <c r="Q55" s="23"/>
    </row>
    <row r="56" spans="1:18" ht="28.8" x14ac:dyDescent="0.3">
      <c r="A56" s="1"/>
      <c r="B56" s="35" t="s">
        <v>43</v>
      </c>
      <c r="C56" s="23"/>
      <c r="D56" s="4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43">
        <f t="shared" si="9"/>
        <v>0</v>
      </c>
      <c r="Q56" s="23"/>
      <c r="R56" s="47" t="s">
        <v>181</v>
      </c>
    </row>
    <row r="57" spans="1:18" x14ac:dyDescent="0.3">
      <c r="A57" s="1"/>
      <c r="B57" s="35" t="s">
        <v>44</v>
      </c>
      <c r="C57" s="23"/>
      <c r="D57" s="4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43">
        <f t="shared" si="9"/>
        <v>0</v>
      </c>
      <c r="Q57" s="23"/>
    </row>
    <row r="58" spans="1:18" x14ac:dyDescent="0.3">
      <c r="A58" s="1"/>
      <c r="B58" s="35" t="s">
        <v>45</v>
      </c>
      <c r="C58" s="23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3">
        <f t="shared" si="9"/>
        <v>0</v>
      </c>
      <c r="Q58" s="23"/>
      <c r="R58" s="47" t="s">
        <v>154</v>
      </c>
    </row>
    <row r="59" spans="1:18" x14ac:dyDescent="0.3">
      <c r="A59" s="1"/>
      <c r="B59" s="35" t="s">
        <v>46</v>
      </c>
      <c r="C59" s="23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3">
        <f t="shared" si="9"/>
        <v>0</v>
      </c>
      <c r="Q59" s="23"/>
    </row>
    <row r="60" spans="1:18" x14ac:dyDescent="0.3">
      <c r="A60" s="1"/>
      <c r="B60" s="35" t="s">
        <v>47</v>
      </c>
      <c r="C60" s="23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>
        <f t="shared" si="9"/>
        <v>0</v>
      </c>
      <c r="Q60" s="23"/>
    </row>
    <row r="61" spans="1:18" x14ac:dyDescent="0.3">
      <c r="A61" s="1"/>
      <c r="B61" s="35" t="s">
        <v>48</v>
      </c>
      <c r="C61" s="23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3">
        <f t="shared" si="9"/>
        <v>0</v>
      </c>
      <c r="Q61" s="23"/>
    </row>
    <row r="62" spans="1:18" x14ac:dyDescent="0.3">
      <c r="A62" s="1"/>
      <c r="B62" s="35" t="s">
        <v>49</v>
      </c>
      <c r="C62" s="23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>
        <f t="shared" si="9"/>
        <v>0</v>
      </c>
      <c r="Q62" s="23"/>
    </row>
    <row r="63" spans="1:18" x14ac:dyDescent="0.3">
      <c r="A63" s="1"/>
      <c r="B63" s="35" t="s">
        <v>50</v>
      </c>
      <c r="C63" s="2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3">
        <f t="shared" si="9"/>
        <v>0</v>
      </c>
      <c r="Q63" s="23"/>
    </row>
    <row r="64" spans="1:18" x14ac:dyDescent="0.3">
      <c r="A64" s="1"/>
      <c r="B64" s="35" t="s">
        <v>51</v>
      </c>
      <c r="C64" s="23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>
        <f t="shared" si="9"/>
        <v>0</v>
      </c>
      <c r="Q64" s="23"/>
    </row>
    <row r="65" spans="1:20" x14ac:dyDescent="0.3">
      <c r="A65" s="1"/>
      <c r="B65" s="35" t="s">
        <v>52</v>
      </c>
      <c r="C65" s="2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>
        <f t="shared" si="9"/>
        <v>0</v>
      </c>
      <c r="Q65" s="23"/>
      <c r="R65" s="47" t="s">
        <v>183</v>
      </c>
      <c r="T65">
        <f>SUM(400+500)</f>
        <v>900</v>
      </c>
    </row>
    <row r="66" spans="1:20" x14ac:dyDescent="0.3">
      <c r="A66" s="1"/>
      <c r="B66" s="35" t="s">
        <v>53</v>
      </c>
      <c r="C66" s="23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>
        <f t="shared" si="9"/>
        <v>0</v>
      </c>
      <c r="Q66" s="23"/>
    </row>
    <row r="67" spans="1:20" x14ac:dyDescent="0.3">
      <c r="A67" s="1"/>
      <c r="B67" s="35" t="s">
        <v>54</v>
      </c>
      <c r="C67" s="2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3">
        <f t="shared" si="9"/>
        <v>0</v>
      </c>
      <c r="Q67" s="23"/>
    </row>
    <row r="68" spans="1:20" x14ac:dyDescent="0.3">
      <c r="A68" s="1"/>
      <c r="B68" s="35" t="s">
        <v>55</v>
      </c>
      <c r="C68" s="2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3">
        <f t="shared" si="9"/>
        <v>0</v>
      </c>
      <c r="Q68" s="23"/>
    </row>
    <row r="69" spans="1:20" x14ac:dyDescent="0.3">
      <c r="A69" s="1"/>
      <c r="B69" s="35" t="s">
        <v>56</v>
      </c>
      <c r="C69" s="2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>
        <f t="shared" si="9"/>
        <v>0</v>
      </c>
      <c r="Q69" s="23"/>
    </row>
    <row r="70" spans="1:20" x14ac:dyDescent="0.3">
      <c r="A70" s="1"/>
      <c r="B70" s="35" t="s">
        <v>57</v>
      </c>
      <c r="C70" s="2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3">
        <f t="shared" si="9"/>
        <v>0</v>
      </c>
      <c r="Q70" s="23"/>
    </row>
    <row r="71" spans="1:20" x14ac:dyDescent="0.3">
      <c r="A71" s="1"/>
      <c r="B71" s="35" t="s">
        <v>58</v>
      </c>
      <c r="C71" s="2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3">
        <f t="shared" si="9"/>
        <v>0</v>
      </c>
      <c r="Q71" s="23"/>
    </row>
    <row r="72" spans="1:20" x14ac:dyDescent="0.3">
      <c r="A72" s="1"/>
      <c r="B72" s="35" t="s">
        <v>59</v>
      </c>
      <c r="C72" s="2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3">
        <f t="shared" si="9"/>
        <v>0</v>
      </c>
      <c r="Q72" s="23"/>
    </row>
    <row r="73" spans="1:20" x14ac:dyDescent="0.3">
      <c r="A73" s="1"/>
      <c r="B73" s="35" t="s">
        <v>60</v>
      </c>
      <c r="C73" s="2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Q73" s="23"/>
    </row>
    <row r="74" spans="1:20" x14ac:dyDescent="0.3">
      <c r="A74" s="1"/>
      <c r="B74" s="35" t="s">
        <v>61</v>
      </c>
      <c r="C74" s="2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>
        <f t="shared" si="9"/>
        <v>0</v>
      </c>
      <c r="Q74" s="23"/>
      <c r="R74" s="47" t="s">
        <v>184</v>
      </c>
    </row>
    <row r="75" spans="1:20" x14ac:dyDescent="0.3">
      <c r="A75" s="1"/>
      <c r="B75" s="35" t="s">
        <v>62</v>
      </c>
      <c r="C75" s="2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3">
        <f t="shared" si="9"/>
        <v>0</v>
      </c>
      <c r="Q75" s="23"/>
    </row>
    <row r="76" spans="1:20" x14ac:dyDescent="0.3">
      <c r="A76" s="1"/>
      <c r="B76" s="35" t="s">
        <v>63</v>
      </c>
      <c r="C76" s="2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3">
        <f t="shared" si="9"/>
        <v>0</v>
      </c>
      <c r="Q76" s="23"/>
    </row>
    <row r="77" spans="1:20" x14ac:dyDescent="0.3">
      <c r="A77" s="35" t="s">
        <v>17</v>
      </c>
      <c r="B77" s="35" t="s">
        <v>64</v>
      </c>
      <c r="C77" s="2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3">
        <f t="shared" si="9"/>
        <v>0</v>
      </c>
      <c r="Q77" s="23"/>
    </row>
    <row r="78" spans="1:20" x14ac:dyDescent="0.3">
      <c r="A78" s="1"/>
      <c r="B78" s="35" t="s">
        <v>65</v>
      </c>
      <c r="C78" s="2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>
        <f t="shared" si="9"/>
        <v>0</v>
      </c>
      <c r="Q78" s="23"/>
    </row>
    <row r="79" spans="1:20" x14ac:dyDescent="0.3">
      <c r="A79" s="1"/>
      <c r="B79" s="1"/>
      <c r="C79" s="2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>
        <f t="shared" si="9"/>
        <v>0</v>
      </c>
      <c r="Q79" s="23"/>
    </row>
    <row r="80" spans="1:20" x14ac:dyDescent="0.3">
      <c r="A80" s="1"/>
      <c r="B80" s="35"/>
      <c r="C80" s="2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3">
        <f t="shared" si="9"/>
        <v>0</v>
      </c>
      <c r="Q80" s="23"/>
    </row>
    <row r="81" spans="1:17" x14ac:dyDescent="0.3">
      <c r="A81" s="1"/>
      <c r="B81" s="35"/>
      <c r="C81" s="2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>
        <f t="shared" si="9"/>
        <v>0</v>
      </c>
      <c r="Q81" s="23"/>
    </row>
    <row r="82" spans="1:17" x14ac:dyDescent="0.3">
      <c r="A82" s="1"/>
      <c r="B82" s="35"/>
      <c r="C82" s="2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3">
        <f t="shared" si="9"/>
        <v>0</v>
      </c>
      <c r="Q82" s="23"/>
    </row>
    <row r="83" spans="1:17" x14ac:dyDescent="0.3">
      <c r="A83" s="1"/>
      <c r="B83" s="35"/>
      <c r="C83" s="2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3">
        <f t="shared" si="9"/>
        <v>0</v>
      </c>
      <c r="Q83" s="23"/>
    </row>
    <row r="84" spans="1:17" x14ac:dyDescent="0.3">
      <c r="A84" s="195" t="s">
        <v>66</v>
      </c>
      <c r="B84" s="195"/>
      <c r="C84" s="23"/>
      <c r="D84" s="4">
        <f>SUM(D56:D83)</f>
        <v>0</v>
      </c>
      <c r="E84" s="4">
        <f t="shared" ref="E84:P84" si="10">SUM(E56:E83)</f>
        <v>0</v>
      </c>
      <c r="F84" s="4">
        <f t="shared" si="10"/>
        <v>0</v>
      </c>
      <c r="G84" s="4">
        <f t="shared" si="10"/>
        <v>0</v>
      </c>
      <c r="H84" s="4">
        <f t="shared" si="10"/>
        <v>0</v>
      </c>
      <c r="I84" s="4">
        <f t="shared" si="10"/>
        <v>0</v>
      </c>
      <c r="J84" s="4">
        <f t="shared" si="10"/>
        <v>0</v>
      </c>
      <c r="K84" s="4">
        <f t="shared" si="10"/>
        <v>0</v>
      </c>
      <c r="L84" s="4">
        <f t="shared" si="10"/>
        <v>0</v>
      </c>
      <c r="M84" s="4">
        <f t="shared" si="10"/>
        <v>0</v>
      </c>
      <c r="N84" s="4">
        <f t="shared" si="10"/>
        <v>0</v>
      </c>
      <c r="O84" s="4">
        <f t="shared" si="10"/>
        <v>0</v>
      </c>
      <c r="P84" s="28">
        <f t="shared" si="10"/>
        <v>0</v>
      </c>
      <c r="Q84" s="8">
        <f>SUM(P55:P83)-P84</f>
        <v>0</v>
      </c>
    </row>
    <row r="85" spans="1:17" x14ac:dyDescent="0.3">
      <c r="A85" s="195" t="s">
        <v>67</v>
      </c>
      <c r="B85" s="195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Q85" s="23"/>
    </row>
    <row r="86" spans="1:17" x14ac:dyDescent="0.3">
      <c r="A86" s="1"/>
      <c r="B86" s="35" t="s">
        <v>68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43">
        <f t="shared" ref="P86:P104" si="11">SUM(D86:O86)</f>
        <v>0</v>
      </c>
      <c r="Q86" s="23"/>
    </row>
    <row r="87" spans="1:17" x14ac:dyDescent="0.3">
      <c r="A87" s="1"/>
      <c r="B87" s="35" t="s">
        <v>69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43">
        <f t="shared" si="11"/>
        <v>0</v>
      </c>
      <c r="Q87" s="23"/>
    </row>
    <row r="88" spans="1:17" x14ac:dyDescent="0.3">
      <c r="A88" s="1"/>
      <c r="B88" s="35" t="s">
        <v>70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43">
        <f t="shared" si="11"/>
        <v>0</v>
      </c>
      <c r="Q88" s="23"/>
    </row>
    <row r="89" spans="1:17" x14ac:dyDescent="0.3">
      <c r="A89" s="1"/>
      <c r="B89" s="35" t="s">
        <v>71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43">
        <f t="shared" si="11"/>
        <v>0</v>
      </c>
      <c r="Q89" s="23"/>
    </row>
    <row r="90" spans="1:17" x14ac:dyDescent="0.3">
      <c r="A90" s="1"/>
      <c r="B90" s="35" t="s">
        <v>72</v>
      </c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43">
        <f t="shared" si="11"/>
        <v>0</v>
      </c>
      <c r="Q90" s="23"/>
    </row>
    <row r="91" spans="1:17" x14ac:dyDescent="0.3">
      <c r="A91" s="1"/>
      <c r="B91" s="35" t="s">
        <v>73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43">
        <f t="shared" si="11"/>
        <v>0</v>
      </c>
      <c r="Q91" s="23"/>
    </row>
    <row r="92" spans="1:17" x14ac:dyDescent="0.3">
      <c r="A92" s="1"/>
      <c r="B92" s="35" t="s">
        <v>74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43">
        <f t="shared" si="11"/>
        <v>0</v>
      </c>
      <c r="Q92" s="23"/>
    </row>
    <row r="93" spans="1:17" x14ac:dyDescent="0.3">
      <c r="A93" s="1"/>
      <c r="B93" s="35" t="s">
        <v>75</v>
      </c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43">
        <f t="shared" si="11"/>
        <v>0</v>
      </c>
      <c r="Q93" s="23"/>
    </row>
    <row r="94" spans="1:17" x14ac:dyDescent="0.3">
      <c r="A94" s="1"/>
      <c r="B94" s="35" t="s">
        <v>76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43">
        <f t="shared" si="11"/>
        <v>0</v>
      </c>
      <c r="Q94" s="23"/>
    </row>
    <row r="95" spans="1:17" x14ac:dyDescent="0.3">
      <c r="A95" s="1"/>
      <c r="B95" s="35" t="s">
        <v>77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43">
        <f t="shared" si="11"/>
        <v>0</v>
      </c>
      <c r="Q95" s="23"/>
    </row>
    <row r="96" spans="1:17" x14ac:dyDescent="0.3">
      <c r="A96" s="1"/>
      <c r="B96" s="35" t="s">
        <v>78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43">
        <f t="shared" si="11"/>
        <v>0</v>
      </c>
      <c r="Q96" s="23"/>
    </row>
    <row r="97" spans="1:17" x14ac:dyDescent="0.3">
      <c r="A97" s="1"/>
      <c r="B97" s="35" t="s">
        <v>79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43">
        <f t="shared" si="11"/>
        <v>0</v>
      </c>
      <c r="Q97" s="23"/>
    </row>
    <row r="98" spans="1:17" x14ac:dyDescent="0.3">
      <c r="A98" s="1"/>
      <c r="B98" s="35" t="s">
        <v>80</v>
      </c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43">
        <f t="shared" si="11"/>
        <v>0</v>
      </c>
      <c r="Q98" s="23"/>
    </row>
    <row r="99" spans="1:17" x14ac:dyDescent="0.3">
      <c r="A99" s="1"/>
      <c r="B99" s="35" t="s">
        <v>81</v>
      </c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43">
        <f t="shared" si="11"/>
        <v>0</v>
      </c>
      <c r="Q99" s="23"/>
    </row>
    <row r="100" spans="1:17" x14ac:dyDescent="0.3">
      <c r="A100" s="1"/>
      <c r="B100" s="35" t="s">
        <v>82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43">
        <f t="shared" si="11"/>
        <v>0</v>
      </c>
      <c r="Q100" s="23"/>
    </row>
    <row r="101" spans="1:17" x14ac:dyDescent="0.3">
      <c r="A101" s="1"/>
      <c r="B101" s="35" t="s">
        <v>83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43">
        <f t="shared" si="11"/>
        <v>0</v>
      </c>
      <c r="Q101" s="23"/>
    </row>
    <row r="102" spans="1:17" x14ac:dyDescent="0.3">
      <c r="A102" s="1"/>
      <c r="B102" s="1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43">
        <f t="shared" si="11"/>
        <v>0</v>
      </c>
      <c r="Q102" s="23"/>
    </row>
    <row r="103" spans="1:17" x14ac:dyDescent="0.3">
      <c r="A103" s="1"/>
      <c r="B103" s="35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43">
        <f t="shared" si="11"/>
        <v>0</v>
      </c>
      <c r="Q103" s="23"/>
    </row>
    <row r="104" spans="1:17" x14ac:dyDescent="0.3">
      <c r="A104" s="1"/>
      <c r="B104" s="35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43">
        <f t="shared" si="11"/>
        <v>0</v>
      </c>
      <c r="Q104" s="23"/>
    </row>
    <row r="105" spans="1:17" x14ac:dyDescent="0.3">
      <c r="A105" s="195" t="s">
        <v>84</v>
      </c>
      <c r="B105" s="195"/>
      <c r="C105" s="23"/>
      <c r="D105" s="5">
        <f>SUM(D86:D104)</f>
        <v>0</v>
      </c>
      <c r="E105" s="5">
        <f t="shared" ref="E105:P105" si="12">SUM(E86:E104)</f>
        <v>0</v>
      </c>
      <c r="F105" s="5">
        <f t="shared" si="12"/>
        <v>0</v>
      </c>
      <c r="G105" s="5">
        <f t="shared" si="12"/>
        <v>0</v>
      </c>
      <c r="H105" s="5">
        <f t="shared" si="12"/>
        <v>0</v>
      </c>
      <c r="I105" s="5">
        <f t="shared" si="12"/>
        <v>0</v>
      </c>
      <c r="J105" s="5">
        <f t="shared" si="12"/>
        <v>0</v>
      </c>
      <c r="K105" s="5">
        <f t="shared" si="12"/>
        <v>0</v>
      </c>
      <c r="L105" s="5">
        <f t="shared" si="12"/>
        <v>0</v>
      </c>
      <c r="M105" s="5">
        <f t="shared" si="12"/>
        <v>0</v>
      </c>
      <c r="N105" s="5">
        <f t="shared" si="12"/>
        <v>0</v>
      </c>
      <c r="O105" s="5">
        <f t="shared" si="12"/>
        <v>0</v>
      </c>
      <c r="P105" s="30">
        <f t="shared" si="12"/>
        <v>0</v>
      </c>
      <c r="Q105" s="8">
        <f>SUM(P86:P104)-P105</f>
        <v>0</v>
      </c>
    </row>
    <row r="106" spans="1:17" x14ac:dyDescent="0.3">
      <c r="A106" s="1"/>
      <c r="B106" s="35" t="s">
        <v>85</v>
      </c>
      <c r="C106" s="23"/>
      <c r="D106" s="5">
        <f>D105+D84+D53+D43</f>
        <v>0</v>
      </c>
      <c r="E106" s="5">
        <f t="shared" ref="E106:P106" si="13">E105+E84+E53+E43</f>
        <v>0</v>
      </c>
      <c r="F106" s="5">
        <f t="shared" si="13"/>
        <v>0</v>
      </c>
      <c r="G106" s="5">
        <f t="shared" si="13"/>
        <v>0</v>
      </c>
      <c r="H106" s="5">
        <f t="shared" si="13"/>
        <v>0</v>
      </c>
      <c r="I106" s="5">
        <f t="shared" si="13"/>
        <v>0</v>
      </c>
      <c r="J106" s="5">
        <f t="shared" si="13"/>
        <v>0</v>
      </c>
      <c r="K106" s="5">
        <f t="shared" si="13"/>
        <v>0</v>
      </c>
      <c r="L106" s="5">
        <f t="shared" si="13"/>
        <v>0</v>
      </c>
      <c r="M106" s="5">
        <f t="shared" si="13"/>
        <v>0</v>
      </c>
      <c r="N106" s="5">
        <f t="shared" si="13"/>
        <v>0</v>
      </c>
      <c r="O106" s="5">
        <f t="shared" si="13"/>
        <v>0</v>
      </c>
      <c r="P106" s="30">
        <f t="shared" si="13"/>
        <v>0</v>
      </c>
      <c r="Q106" s="23"/>
    </row>
    <row r="107" spans="1:17" x14ac:dyDescent="0.3">
      <c r="A107" s="1"/>
      <c r="B107" s="35" t="s">
        <v>86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Q107" s="23"/>
    </row>
    <row r="108" spans="1:17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Q108" s="23"/>
    </row>
    <row r="109" spans="1:17" ht="15" thickBot="1" x14ac:dyDescent="0.35">
      <c r="A109" s="23"/>
      <c r="B109" s="23" t="s">
        <v>112</v>
      </c>
      <c r="C109" s="23"/>
      <c r="D109" s="7">
        <f>D32-D106-D107</f>
        <v>0</v>
      </c>
      <c r="E109" s="7">
        <f t="shared" ref="E109:P109" si="14">E32-E106-E107</f>
        <v>0</v>
      </c>
      <c r="F109" s="7">
        <f t="shared" si="14"/>
        <v>0</v>
      </c>
      <c r="G109" s="7">
        <f t="shared" si="14"/>
        <v>0</v>
      </c>
      <c r="H109" s="7">
        <f t="shared" si="14"/>
        <v>0</v>
      </c>
      <c r="I109" s="7">
        <f t="shared" si="14"/>
        <v>0</v>
      </c>
      <c r="J109" s="7">
        <f t="shared" si="14"/>
        <v>0</v>
      </c>
      <c r="K109" s="7">
        <f t="shared" si="14"/>
        <v>0</v>
      </c>
      <c r="L109" s="7">
        <f t="shared" si="14"/>
        <v>0</v>
      </c>
      <c r="M109" s="7">
        <f t="shared" si="14"/>
        <v>0</v>
      </c>
      <c r="N109" s="7">
        <f t="shared" si="14"/>
        <v>0</v>
      </c>
      <c r="O109" s="7">
        <f t="shared" si="14"/>
        <v>0</v>
      </c>
      <c r="P109" s="31">
        <f t="shared" si="14"/>
        <v>0</v>
      </c>
      <c r="Q109" s="23"/>
    </row>
    <row r="110" spans="1:17" ht="15" thickTop="1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Q110" s="23"/>
    </row>
    <row r="111" spans="1:17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Q111" s="23"/>
    </row>
    <row r="112" spans="1:17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Q112" s="23"/>
    </row>
    <row r="113" spans="1:17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Q113" s="23"/>
    </row>
    <row r="114" spans="1:17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Q114" s="23"/>
    </row>
    <row r="115" spans="1:17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Q115" s="23"/>
    </row>
    <row r="116" spans="1:17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Q116" s="23"/>
    </row>
    <row r="117" spans="1:17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Q117" s="23"/>
    </row>
    <row r="118" spans="1:17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Q118" s="23"/>
    </row>
    <row r="119" spans="1:17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Q119" s="23"/>
    </row>
    <row r="120" spans="1:17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Q120" s="23"/>
    </row>
    <row r="121" spans="1:17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Q121" s="23"/>
    </row>
    <row r="122" spans="1:17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Q122" s="23"/>
    </row>
    <row r="123" spans="1:17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Q123" s="23"/>
    </row>
    <row r="124" spans="1:17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Q124" s="23"/>
    </row>
    <row r="125" spans="1:17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Q125" s="23"/>
    </row>
    <row r="126" spans="1:17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Q126" s="23"/>
    </row>
    <row r="127" spans="1:17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Q127" s="23"/>
    </row>
    <row r="128" spans="1:17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Q128" s="23"/>
    </row>
    <row r="129" spans="1:17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Q129" s="23"/>
    </row>
    <row r="130" spans="1:17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Q130" s="23"/>
    </row>
    <row r="131" spans="1:17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Q131" s="23"/>
    </row>
    <row r="132" spans="1:17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Q132" s="23"/>
    </row>
    <row r="133" spans="1:17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Q133" s="23"/>
    </row>
    <row r="134" spans="1:17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Q134" s="23"/>
    </row>
    <row r="135" spans="1:17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Q135" s="23"/>
    </row>
    <row r="136" spans="1:17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Q136" s="23"/>
    </row>
    <row r="137" spans="1:17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Q137" s="23"/>
    </row>
    <row r="138" spans="1:17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Q138" s="23"/>
    </row>
    <row r="139" spans="1:17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Q139" s="23"/>
    </row>
    <row r="140" spans="1:17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Q140" s="23"/>
    </row>
    <row r="141" spans="1:17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Q141" s="23"/>
    </row>
    <row r="142" spans="1:17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Q142" s="23"/>
    </row>
    <row r="143" spans="1:17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Q143" s="23"/>
    </row>
    <row r="144" spans="1:17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Q144" s="23"/>
    </row>
    <row r="145" spans="1:17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Q145" s="23"/>
    </row>
    <row r="146" spans="1:17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Q146" s="23"/>
    </row>
    <row r="147" spans="1:17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Q147" s="23"/>
    </row>
    <row r="148" spans="1:17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Q148" s="23"/>
    </row>
    <row r="149" spans="1:17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Q149" s="23"/>
    </row>
    <row r="150" spans="1:17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Q150" s="23"/>
    </row>
    <row r="151" spans="1:17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Q151" s="23"/>
    </row>
    <row r="152" spans="1:17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Q152" s="23"/>
    </row>
    <row r="153" spans="1:17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Q153" s="23"/>
    </row>
    <row r="154" spans="1:17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Q154" s="23"/>
    </row>
    <row r="155" spans="1:17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Q155" s="23"/>
    </row>
    <row r="156" spans="1:17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Q156" s="23"/>
    </row>
    <row r="157" spans="1:17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Q157" s="23"/>
    </row>
    <row r="158" spans="1:17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Q158" s="23"/>
    </row>
    <row r="159" spans="1:17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Q159" s="23"/>
    </row>
    <row r="160" spans="1:17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Q160" s="23"/>
    </row>
    <row r="161" spans="1:17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Q161" s="23"/>
    </row>
    <row r="162" spans="1:17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Q162" s="23"/>
    </row>
    <row r="163" spans="1:17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Q163" s="23"/>
    </row>
    <row r="164" spans="1:17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Q164" s="23"/>
    </row>
    <row r="165" spans="1:17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Q165" s="23"/>
    </row>
    <row r="166" spans="1:17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Q166" s="23"/>
    </row>
    <row r="167" spans="1:17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Q167" s="23"/>
    </row>
    <row r="168" spans="1:17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Q168" s="23"/>
    </row>
  </sheetData>
  <mergeCells count="16">
    <mergeCell ref="A84:B84"/>
    <mergeCell ref="A85:B85"/>
    <mergeCell ref="A105:B105"/>
    <mergeCell ref="A4:B4"/>
    <mergeCell ref="A5:B5"/>
    <mergeCell ref="A12:B12"/>
    <mergeCell ref="A13:B13"/>
    <mergeCell ref="A18:B18"/>
    <mergeCell ref="A19:B19"/>
    <mergeCell ref="A43:B43"/>
    <mergeCell ref="A53:B53"/>
    <mergeCell ref="A54:B54"/>
    <mergeCell ref="A27:B27"/>
    <mergeCell ref="A26:B26"/>
    <mergeCell ref="A34:B34"/>
    <mergeCell ref="A44:B4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>
      <selection activeCell="D9" sqref="D9"/>
    </sheetView>
  </sheetViews>
  <sheetFormatPr defaultRowHeight="14.4" x14ac:dyDescent="0.3"/>
  <cols>
    <col min="15" max="15" width="9.109375" style="25"/>
  </cols>
  <sheetData>
    <row r="1" spans="1:16" x14ac:dyDescent="0.3">
      <c r="A1" s="43" t="s">
        <v>272</v>
      </c>
      <c r="B1" s="43"/>
      <c r="C1" s="43"/>
      <c r="D1" s="43"/>
      <c r="E1" s="43"/>
      <c r="F1" s="43"/>
      <c r="G1" s="42"/>
      <c r="H1" s="42"/>
      <c r="I1" s="42"/>
      <c r="J1" s="42"/>
      <c r="K1" s="42"/>
      <c r="L1" s="42"/>
      <c r="M1" s="42"/>
      <c r="N1" s="42"/>
      <c r="O1" s="43"/>
      <c r="P1" s="42"/>
    </row>
    <row r="2" spans="1:16" s="23" customFormat="1" x14ac:dyDescent="0.3">
      <c r="A2" s="43"/>
      <c r="B2" s="43"/>
      <c r="C2" s="43"/>
      <c r="D2" s="43"/>
      <c r="E2" s="43"/>
      <c r="F2" s="43"/>
      <c r="G2" s="42"/>
      <c r="H2" s="42"/>
      <c r="I2" s="42"/>
      <c r="J2" s="42"/>
      <c r="K2" s="42"/>
      <c r="L2" s="42"/>
      <c r="M2" s="42"/>
      <c r="N2" s="42"/>
      <c r="O2" s="43"/>
      <c r="P2" s="42"/>
    </row>
    <row r="3" spans="1:16" x14ac:dyDescent="0.3">
      <c r="A3" s="43"/>
      <c r="B3" s="43"/>
      <c r="C3" s="43"/>
      <c r="D3" s="43"/>
      <c r="E3" s="43"/>
      <c r="F3" s="43"/>
      <c r="G3" s="42"/>
      <c r="H3" s="42"/>
      <c r="I3" s="42"/>
      <c r="J3" s="42"/>
      <c r="K3" s="42"/>
      <c r="L3" s="42"/>
      <c r="M3" s="42"/>
      <c r="N3" s="42"/>
      <c r="O3" s="43"/>
      <c r="P3" s="42"/>
    </row>
    <row r="4" spans="1:16" x14ac:dyDescent="0.3">
      <c r="A4" s="43" t="s">
        <v>273</v>
      </c>
      <c r="B4" s="43"/>
      <c r="C4" s="43"/>
      <c r="D4" s="43"/>
      <c r="E4" s="43">
        <v>300000</v>
      </c>
      <c r="F4" s="43"/>
      <c r="G4" s="42"/>
      <c r="H4" s="42"/>
      <c r="I4" s="42"/>
      <c r="J4" s="42"/>
      <c r="K4" s="42"/>
      <c r="L4" s="42"/>
      <c r="M4" s="42"/>
      <c r="N4" s="42"/>
      <c r="O4" s="43"/>
      <c r="P4" s="42"/>
    </row>
    <row r="5" spans="1:16" x14ac:dyDescent="0.3">
      <c r="A5" s="43"/>
      <c r="B5" s="43"/>
      <c r="C5" s="43"/>
      <c r="D5" s="43"/>
      <c r="E5" s="43"/>
      <c r="F5" s="43"/>
      <c r="G5" s="42"/>
      <c r="H5" s="42"/>
      <c r="I5" s="42"/>
      <c r="J5" s="42"/>
      <c r="K5" s="42"/>
      <c r="L5" s="42"/>
      <c r="M5" s="42"/>
      <c r="N5" s="42"/>
      <c r="O5" s="43"/>
      <c r="P5" s="42"/>
    </row>
    <row r="6" spans="1:16" x14ac:dyDescent="0.3">
      <c r="A6" s="43" t="s">
        <v>274</v>
      </c>
      <c r="B6" s="43"/>
      <c r="C6" s="43"/>
      <c r="D6" s="43"/>
      <c r="E6" s="43"/>
      <c r="F6" s="43"/>
      <c r="G6" s="42"/>
      <c r="H6" s="42"/>
      <c r="I6" s="42"/>
      <c r="J6" s="42"/>
      <c r="K6" s="42"/>
      <c r="L6" s="42"/>
      <c r="M6" s="42"/>
      <c r="N6" s="42"/>
      <c r="O6" s="43"/>
      <c r="P6" s="42"/>
    </row>
    <row r="7" spans="1:16" x14ac:dyDescent="0.3">
      <c r="A7" s="43" t="s">
        <v>275</v>
      </c>
      <c r="B7" s="43"/>
      <c r="C7" s="43"/>
      <c r="D7" s="43">
        <v>18000</v>
      </c>
      <c r="E7" s="43"/>
      <c r="F7" s="43"/>
      <c r="G7" s="42"/>
      <c r="H7" s="42"/>
      <c r="I7" s="42"/>
      <c r="J7" s="42"/>
      <c r="K7" s="42"/>
      <c r="L7" s="42"/>
      <c r="M7" s="42"/>
      <c r="N7" s="42"/>
      <c r="O7" s="43"/>
      <c r="P7" s="42"/>
    </row>
    <row r="8" spans="1:16" x14ac:dyDescent="0.3">
      <c r="A8" s="43" t="s">
        <v>276</v>
      </c>
      <c r="B8" s="43"/>
      <c r="C8" s="43"/>
      <c r="D8" s="122">
        <v>10000</v>
      </c>
      <c r="E8" s="43"/>
      <c r="F8" s="43"/>
      <c r="G8" s="42"/>
      <c r="H8" s="42"/>
      <c r="I8" s="42"/>
      <c r="J8" s="42"/>
      <c r="K8" s="42"/>
      <c r="L8" s="42"/>
      <c r="M8" s="42"/>
      <c r="N8" s="42"/>
      <c r="O8" s="43"/>
      <c r="P8" s="42"/>
    </row>
    <row r="9" spans="1:16" x14ac:dyDescent="0.3">
      <c r="A9" s="43"/>
      <c r="B9" s="43"/>
      <c r="C9" s="43"/>
      <c r="D9" s="43"/>
      <c r="E9" s="123">
        <f>SUM(D7:D8)</f>
        <v>28000</v>
      </c>
      <c r="F9" s="43"/>
      <c r="G9" s="42"/>
      <c r="H9" s="42"/>
      <c r="I9" s="42"/>
      <c r="J9" s="42"/>
      <c r="K9" s="42"/>
      <c r="L9" s="42"/>
      <c r="M9" s="42"/>
      <c r="N9" s="42"/>
      <c r="O9" s="43"/>
      <c r="P9" s="42"/>
    </row>
    <row r="10" spans="1:16" x14ac:dyDescent="0.3">
      <c r="A10" s="43"/>
      <c r="B10" s="43"/>
      <c r="C10" s="43"/>
      <c r="D10" s="43"/>
      <c r="E10" s="43"/>
      <c r="F10" s="43"/>
      <c r="G10" s="42"/>
      <c r="H10" s="42"/>
      <c r="I10" s="42"/>
      <c r="J10" s="42"/>
      <c r="K10" s="42"/>
      <c r="L10" s="42"/>
      <c r="M10" s="42"/>
      <c r="N10" s="42"/>
      <c r="O10" s="43"/>
      <c r="P10" s="42"/>
    </row>
    <row r="11" spans="1:16" ht="15" thickBot="1" x14ac:dyDescent="0.35">
      <c r="A11" s="43" t="s">
        <v>277</v>
      </c>
      <c r="B11" s="43"/>
      <c r="C11" s="43"/>
      <c r="D11" s="43"/>
      <c r="E11" s="124">
        <f>E4-E9</f>
        <v>272000</v>
      </c>
      <c r="F11" s="43"/>
      <c r="G11" s="42"/>
      <c r="H11" s="42"/>
      <c r="I11" s="42"/>
      <c r="J11" s="42"/>
      <c r="K11" s="42"/>
      <c r="L11" s="42"/>
      <c r="M11" s="42"/>
      <c r="N11" s="42"/>
      <c r="O11" s="43"/>
      <c r="P11" s="42"/>
    </row>
    <row r="12" spans="1:16" x14ac:dyDescent="0.3">
      <c r="A12" s="43"/>
      <c r="B12" s="43"/>
      <c r="C12" s="43"/>
      <c r="D12" s="43"/>
      <c r="E12" s="43"/>
      <c r="F12" s="43"/>
      <c r="G12" s="42"/>
      <c r="H12" s="42"/>
      <c r="I12" s="42"/>
      <c r="J12" s="42"/>
      <c r="K12" s="42"/>
      <c r="L12" s="42"/>
      <c r="M12" s="42"/>
      <c r="N12" s="42"/>
      <c r="O12" s="43"/>
      <c r="P12" s="42"/>
    </row>
    <row r="13" spans="1:16" x14ac:dyDescent="0.3">
      <c r="A13" s="43"/>
      <c r="B13" s="43"/>
      <c r="C13" s="43"/>
      <c r="D13" s="43"/>
      <c r="E13" s="43"/>
      <c r="F13" s="43"/>
      <c r="G13" s="42"/>
      <c r="H13" s="42"/>
      <c r="I13" s="42"/>
      <c r="J13" s="42"/>
      <c r="K13" s="42"/>
      <c r="L13" s="42"/>
      <c r="M13" s="42"/>
      <c r="N13" s="42"/>
      <c r="O13" s="43"/>
      <c r="P13" s="42"/>
    </row>
    <row r="14" spans="1:16" x14ac:dyDescent="0.3">
      <c r="A14" s="43" t="s">
        <v>278</v>
      </c>
      <c r="B14" s="43"/>
      <c r="C14" s="43"/>
      <c r="D14" s="43"/>
      <c r="E14" s="43"/>
      <c r="F14" s="43"/>
      <c r="G14" s="42"/>
      <c r="H14" s="42"/>
      <c r="I14" s="42"/>
      <c r="J14" s="42"/>
      <c r="K14" s="42"/>
      <c r="L14" s="42"/>
      <c r="M14" s="42"/>
      <c r="N14" s="42"/>
      <c r="O14" s="43"/>
      <c r="P14" s="42"/>
    </row>
    <row r="15" spans="1:16" x14ac:dyDescent="0.3">
      <c r="A15" s="43" t="s">
        <v>99</v>
      </c>
      <c r="B15" s="43" t="s">
        <v>279</v>
      </c>
      <c r="C15" s="43" t="s">
        <v>280</v>
      </c>
      <c r="D15" s="43" t="s">
        <v>112</v>
      </c>
      <c r="E15" s="43"/>
      <c r="F15" s="43"/>
      <c r="G15" s="42"/>
      <c r="H15" s="42"/>
      <c r="I15" s="42"/>
      <c r="J15" s="42"/>
      <c r="K15" s="42"/>
      <c r="L15" s="42"/>
      <c r="M15" s="42"/>
      <c r="N15" s="42"/>
      <c r="O15" s="43"/>
      <c r="P15" s="42"/>
    </row>
    <row r="16" spans="1:16" x14ac:dyDescent="0.3">
      <c r="A16" s="43" t="s">
        <v>281</v>
      </c>
      <c r="B16" s="43">
        <v>12500</v>
      </c>
      <c r="C16" s="43">
        <v>0</v>
      </c>
      <c r="D16" s="43">
        <f>B16-C16</f>
        <v>12500</v>
      </c>
      <c r="E16" s="43"/>
      <c r="F16" s="43"/>
      <c r="G16" s="42"/>
      <c r="H16" s="42"/>
      <c r="I16" s="42"/>
      <c r="J16" s="42"/>
      <c r="K16" s="42"/>
      <c r="L16" s="42"/>
      <c r="M16" s="42"/>
      <c r="N16" s="42"/>
      <c r="O16" s="43"/>
      <c r="P16" s="42"/>
    </row>
    <row r="17" spans="1:16" x14ac:dyDescent="0.3">
      <c r="A17" s="43" t="s">
        <v>282</v>
      </c>
      <c r="B17" s="43">
        <v>196500</v>
      </c>
      <c r="C17" s="43">
        <f>65499.98+5038.46</f>
        <v>70538.44</v>
      </c>
      <c r="D17" s="43">
        <f>B17-C17</f>
        <v>125961.56</v>
      </c>
      <c r="E17" s="43"/>
      <c r="F17" s="43"/>
      <c r="G17" s="42"/>
      <c r="H17" s="42"/>
      <c r="I17" s="42"/>
      <c r="J17" s="42"/>
      <c r="K17" s="42"/>
      <c r="L17" s="42"/>
      <c r="M17" s="42"/>
      <c r="N17" s="42"/>
      <c r="O17" s="43"/>
      <c r="P17" s="42"/>
    </row>
    <row r="18" spans="1:16" x14ac:dyDescent="0.3">
      <c r="A18" s="43" t="s">
        <v>283</v>
      </c>
      <c r="B18" s="43">
        <v>126042</v>
      </c>
      <c r="C18" s="43">
        <f>40849.83+5388.48</f>
        <v>46238.31</v>
      </c>
      <c r="D18" s="43">
        <f t="shared" ref="D18:D19" si="0">B18-C18</f>
        <v>79803.69</v>
      </c>
      <c r="E18" s="43"/>
      <c r="F18" s="43"/>
      <c r="G18" s="42"/>
      <c r="H18" s="42"/>
      <c r="I18" s="42"/>
      <c r="J18" s="42"/>
      <c r="K18" s="42"/>
      <c r="L18" s="42"/>
      <c r="M18" s="42"/>
      <c r="N18" s="42"/>
      <c r="O18" s="43"/>
      <c r="P18" s="42"/>
    </row>
    <row r="19" spans="1:16" x14ac:dyDescent="0.3">
      <c r="A19" s="43" t="s">
        <v>284</v>
      </c>
      <c r="B19" s="43">
        <v>43277.89</v>
      </c>
      <c r="C19" s="43">
        <f>29929.5+334.9</f>
        <v>30264.400000000001</v>
      </c>
      <c r="D19" s="43">
        <f t="shared" si="0"/>
        <v>13013.489999999998</v>
      </c>
      <c r="E19" s="43"/>
      <c r="F19" s="43"/>
      <c r="G19" s="42"/>
      <c r="H19" s="42"/>
      <c r="I19" s="42"/>
      <c r="J19" s="42"/>
      <c r="K19" s="42"/>
      <c r="L19" s="42"/>
      <c r="M19" s="42"/>
      <c r="N19" s="42"/>
      <c r="O19" s="43"/>
      <c r="P19" s="42"/>
    </row>
    <row r="20" spans="1:16" x14ac:dyDescent="0.3">
      <c r="A20" s="43"/>
      <c r="B20" s="43">
        <f>SUM(B16:B19)</f>
        <v>378319.89</v>
      </c>
      <c r="C20" s="43">
        <f>SUM(C16:C19)</f>
        <v>147041.15</v>
      </c>
      <c r="D20" s="43"/>
      <c r="E20" s="43"/>
      <c r="F20" s="43"/>
      <c r="G20" s="42"/>
      <c r="H20" s="42"/>
      <c r="I20" s="42"/>
      <c r="J20" s="42"/>
      <c r="K20" s="42"/>
      <c r="L20" s="42"/>
      <c r="M20" s="42"/>
      <c r="N20" s="42"/>
      <c r="O20" s="43"/>
      <c r="P20" s="42"/>
    </row>
    <row r="21" spans="1:16" x14ac:dyDescent="0.3">
      <c r="A21" s="43"/>
      <c r="B21" s="43"/>
      <c r="C21" s="43"/>
      <c r="D21" s="43"/>
      <c r="E21" s="125">
        <f>SUM(D16:D19)</f>
        <v>231278.74</v>
      </c>
      <c r="F21" s="43"/>
      <c r="G21" s="42"/>
      <c r="H21" s="42"/>
      <c r="I21" s="42"/>
      <c r="J21" s="42"/>
      <c r="K21" s="42"/>
      <c r="L21" s="42"/>
      <c r="M21" s="42"/>
      <c r="N21" s="42"/>
      <c r="O21" s="43"/>
      <c r="P21" s="42"/>
    </row>
    <row r="22" spans="1:16" x14ac:dyDescent="0.3">
      <c r="A22" s="43"/>
      <c r="B22" s="43"/>
      <c r="C22" s="43"/>
      <c r="D22" s="43"/>
      <c r="E22" s="43"/>
      <c r="F22" s="43"/>
      <c r="G22" s="42"/>
      <c r="H22" s="42"/>
      <c r="I22" s="42"/>
      <c r="J22" s="42"/>
      <c r="K22" s="42"/>
      <c r="L22" s="42"/>
      <c r="M22" s="42"/>
      <c r="N22" s="42"/>
      <c r="O22" s="43"/>
      <c r="P22" s="42"/>
    </row>
    <row r="23" spans="1:16" x14ac:dyDescent="0.3">
      <c r="A23" s="43" t="s">
        <v>285</v>
      </c>
      <c r="B23" s="43"/>
      <c r="C23" s="43"/>
      <c r="D23" s="43"/>
      <c r="E23" s="43">
        <f>E11-E21</f>
        <v>40721.260000000009</v>
      </c>
      <c r="F23" s="43"/>
      <c r="G23" s="42"/>
      <c r="H23" s="42"/>
      <c r="I23" s="42"/>
      <c r="J23" s="42"/>
      <c r="K23" s="42"/>
      <c r="L23" s="42"/>
      <c r="M23" s="42"/>
      <c r="N23" s="42"/>
      <c r="O23" s="43"/>
      <c r="P23" s="42"/>
    </row>
    <row r="24" spans="1:16" x14ac:dyDescent="0.3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42"/>
    </row>
    <row r="25" spans="1:16" x14ac:dyDescent="0.3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2"/>
    </row>
    <row r="26" spans="1:16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2"/>
    </row>
    <row r="27" spans="1:16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6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6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6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3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</row>
  </sheetData>
  <pageMargins left="0.7" right="0.7" top="0.75" bottom="0.75" header="0.3" footer="0.3"/>
  <pageSetup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opLeftCell="C19" zoomScale="99" zoomScaleNormal="99" workbookViewId="0">
      <selection activeCell="N39" sqref="N39:X39"/>
    </sheetView>
  </sheetViews>
  <sheetFormatPr defaultRowHeight="14.4" x14ac:dyDescent="0.3"/>
  <cols>
    <col min="3" max="3" width="8.88671875" style="126"/>
    <col min="7" max="7" width="10.109375" bestFit="1" customWidth="1"/>
  </cols>
  <sheetData>
    <row r="1" spans="1:24" x14ac:dyDescent="0.3">
      <c r="A1" s="10"/>
      <c r="B1" s="10"/>
      <c r="D1" s="10"/>
      <c r="E1" s="10"/>
      <c r="F1" s="10"/>
      <c r="G1" s="18" t="s">
        <v>114</v>
      </c>
      <c r="H1" s="18"/>
      <c r="I1" s="18"/>
      <c r="J1" s="10"/>
      <c r="K1" s="18" t="s">
        <v>115</v>
      </c>
      <c r="L1" s="10"/>
      <c r="M1" s="10" t="s">
        <v>100</v>
      </c>
      <c r="N1" s="10" t="s">
        <v>101</v>
      </c>
      <c r="O1" s="10" t="s">
        <v>102</v>
      </c>
      <c r="P1" s="10" t="s">
        <v>103</v>
      </c>
      <c r="Q1" s="10" t="s">
        <v>104</v>
      </c>
      <c r="R1" s="10" t="s">
        <v>105</v>
      </c>
      <c r="S1" s="10" t="s">
        <v>106</v>
      </c>
      <c r="T1" s="10" t="s">
        <v>107</v>
      </c>
      <c r="U1" s="10" t="s">
        <v>108</v>
      </c>
      <c r="V1" s="10" t="s">
        <v>109</v>
      </c>
      <c r="W1" s="10" t="s">
        <v>110</v>
      </c>
      <c r="X1" s="10" t="s">
        <v>111</v>
      </c>
    </row>
    <row r="2" spans="1:24" x14ac:dyDescent="0.3">
      <c r="A2" s="10" t="s">
        <v>99</v>
      </c>
      <c r="B2" s="10"/>
      <c r="D2" s="10"/>
      <c r="E2" s="10"/>
      <c r="F2" s="10"/>
      <c r="G2" s="18"/>
      <c r="H2" s="18"/>
      <c r="I2" s="18"/>
      <c r="J2" s="10"/>
      <c r="K2" s="18"/>
      <c r="L2" s="10"/>
      <c r="M2" s="10">
        <v>1</v>
      </c>
      <c r="N2" s="42">
        <v>1</v>
      </c>
      <c r="O2" s="42">
        <v>1</v>
      </c>
      <c r="P2" s="42">
        <v>1</v>
      </c>
      <c r="Q2" s="42">
        <v>1</v>
      </c>
      <c r="R2" s="42">
        <v>1</v>
      </c>
      <c r="S2" s="42">
        <v>1</v>
      </c>
      <c r="T2" s="42">
        <v>1</v>
      </c>
      <c r="U2" s="42">
        <v>1</v>
      </c>
      <c r="V2" s="42">
        <v>1</v>
      </c>
      <c r="W2" s="42">
        <v>1</v>
      </c>
      <c r="X2" s="42">
        <v>1</v>
      </c>
    </row>
    <row r="3" spans="1:24" s="42" customFormat="1" x14ac:dyDescent="0.3">
      <c r="A3" s="42" t="s">
        <v>256</v>
      </c>
      <c r="C3" s="126"/>
      <c r="G3" s="18"/>
      <c r="H3" s="18"/>
      <c r="I3" s="18"/>
      <c r="K3" s="18"/>
      <c r="M3" s="42">
        <v>1.0149999999999999</v>
      </c>
      <c r="N3" s="42">
        <v>1.0149999999999999</v>
      </c>
      <c r="O3" s="42">
        <v>1.0149999999999999</v>
      </c>
      <c r="P3" s="42">
        <v>1.0149999999999999</v>
      </c>
      <c r="Q3" s="42">
        <v>1.0149999999999999</v>
      </c>
      <c r="R3" s="42">
        <v>1.0149999999999999</v>
      </c>
      <c r="S3" s="42">
        <v>1.0149999999999999</v>
      </c>
      <c r="T3" s="42">
        <v>1.0149999999999999</v>
      </c>
      <c r="U3" s="42">
        <v>1.0149999999999999</v>
      </c>
      <c r="V3" s="42">
        <v>1.0149999999999999</v>
      </c>
      <c r="W3" s="42">
        <v>1.0149999999999999</v>
      </c>
      <c r="X3" s="42">
        <v>1.0149999999999999</v>
      </c>
    </row>
    <row r="4" spans="1:24" x14ac:dyDescent="0.3">
      <c r="A4" s="15" t="s">
        <v>116</v>
      </c>
      <c r="B4" s="10"/>
      <c r="C4" s="127" t="s">
        <v>117</v>
      </c>
      <c r="D4" s="20" t="s">
        <v>118</v>
      </c>
      <c r="E4" s="16" t="s">
        <v>119</v>
      </c>
      <c r="F4" s="10"/>
      <c r="G4" s="18" t="s">
        <v>120</v>
      </c>
      <c r="H4" s="18"/>
      <c r="I4" s="18" t="s">
        <v>121</v>
      </c>
      <c r="J4" s="10"/>
      <c r="K4" s="18" t="s">
        <v>122</v>
      </c>
      <c r="L4" s="10"/>
      <c r="M4" s="10">
        <v>31</v>
      </c>
      <c r="N4" s="10">
        <v>28</v>
      </c>
      <c r="O4" s="10">
        <v>31</v>
      </c>
      <c r="P4" s="10">
        <v>30</v>
      </c>
      <c r="Q4" s="10">
        <v>31</v>
      </c>
      <c r="R4" s="10">
        <v>30</v>
      </c>
      <c r="S4" s="10">
        <v>31</v>
      </c>
      <c r="T4" s="10">
        <v>31</v>
      </c>
      <c r="U4" s="10">
        <v>30</v>
      </c>
      <c r="V4" s="10">
        <v>31</v>
      </c>
      <c r="W4" s="10">
        <v>30</v>
      </c>
      <c r="X4" s="10">
        <v>31</v>
      </c>
    </row>
    <row r="5" spans="1:24" x14ac:dyDescent="0.3">
      <c r="A5" s="14" t="s">
        <v>123</v>
      </c>
      <c r="B5" s="10"/>
      <c r="C5" s="128">
        <v>150.72999999999999</v>
      </c>
      <c r="D5" s="19">
        <v>351</v>
      </c>
      <c r="E5" s="17" t="s">
        <v>227</v>
      </c>
      <c r="F5" s="10"/>
      <c r="G5" s="24">
        <f t="shared" ref="G5:G21" si="0">C5*D5</f>
        <v>52906.229999999996</v>
      </c>
      <c r="H5" s="10"/>
      <c r="I5" s="21">
        <v>1</v>
      </c>
      <c r="J5" s="10"/>
      <c r="K5" s="24">
        <f t="shared" ref="K5:K20" si="1">G5*I5/365</f>
        <v>144.94857534246574</v>
      </c>
      <c r="L5" s="21">
        <v>0.97</v>
      </c>
      <c r="M5" s="25">
        <f t="shared" ref="M5:M19" si="2">K5*$M$4*$M$2</f>
        <v>4493.4058356164378</v>
      </c>
      <c r="N5" s="25">
        <f t="shared" ref="N5:N20" si="3">K5*$N$4*$N$2</f>
        <v>4058.5601095890406</v>
      </c>
      <c r="O5" s="25">
        <f t="shared" ref="O5:O20" si="4">K5*$O$4*$O$2</f>
        <v>4493.4058356164378</v>
      </c>
      <c r="P5" s="25">
        <f t="shared" ref="P5:P20" si="5">K5*$P$4*$P$2</f>
        <v>4348.4572602739727</v>
      </c>
      <c r="Q5" s="25">
        <f t="shared" ref="Q5:Q20" si="6">K5*$Q$4*$Q$2</f>
        <v>4493.4058356164378</v>
      </c>
      <c r="R5" s="25">
        <f t="shared" ref="R5:R20" si="7">K5*$R$4*$R$2</f>
        <v>4348.4572602739727</v>
      </c>
      <c r="S5" s="25">
        <f t="shared" ref="S5:S20" si="8">K5*$S$4*$S$2</f>
        <v>4493.4058356164378</v>
      </c>
      <c r="T5" s="25">
        <f t="shared" ref="T5:T20" si="9">K5*$T$4*$T$2</f>
        <v>4493.4058356164378</v>
      </c>
      <c r="U5" s="25">
        <f t="shared" ref="U5:U20" si="10">K5*$U$4*$U$2</f>
        <v>4348.4572602739727</v>
      </c>
      <c r="V5" s="25">
        <f t="shared" ref="V5:V20" si="11">K5*$V$4*$V$2</f>
        <v>4493.4058356164378</v>
      </c>
      <c r="W5" s="25">
        <f t="shared" ref="W5:W20" si="12">K5*$W$4*$W$2</f>
        <v>4348.4572602739727</v>
      </c>
      <c r="X5" s="25">
        <f t="shared" ref="X5:X20" si="13">K5*$X$4*$X$2</f>
        <v>4493.4058356164378</v>
      </c>
    </row>
    <row r="6" spans="1:24" x14ac:dyDescent="0.3">
      <c r="A6" t="s">
        <v>228</v>
      </c>
      <c r="B6" s="10"/>
      <c r="C6" s="128">
        <v>94.29</v>
      </c>
      <c r="D6" s="19">
        <v>365</v>
      </c>
      <c r="E6" s="17" t="s">
        <v>229</v>
      </c>
      <c r="F6" s="10"/>
      <c r="G6" s="24">
        <f t="shared" si="0"/>
        <v>34415.850000000006</v>
      </c>
      <c r="H6" s="10"/>
      <c r="I6" s="21">
        <v>0.97</v>
      </c>
      <c r="J6" s="10"/>
      <c r="K6" s="24">
        <f t="shared" si="1"/>
        <v>91.461300000000008</v>
      </c>
      <c r="L6" s="24">
        <v>0.97</v>
      </c>
      <c r="M6" s="25">
        <f t="shared" si="2"/>
        <v>2835.3003000000003</v>
      </c>
      <c r="N6" s="25">
        <f t="shared" si="3"/>
        <v>2560.9164000000001</v>
      </c>
      <c r="O6" s="25">
        <f t="shared" si="4"/>
        <v>2835.3003000000003</v>
      </c>
      <c r="P6" s="25">
        <f t="shared" si="5"/>
        <v>2743.8390000000004</v>
      </c>
      <c r="Q6" s="25">
        <f t="shared" si="6"/>
        <v>2835.3003000000003</v>
      </c>
      <c r="R6" s="25">
        <f t="shared" si="7"/>
        <v>2743.8390000000004</v>
      </c>
      <c r="S6" s="25">
        <f t="shared" si="8"/>
        <v>2835.3003000000003</v>
      </c>
      <c r="T6" s="25">
        <f t="shared" si="9"/>
        <v>2835.3003000000003</v>
      </c>
      <c r="U6" s="25">
        <f t="shared" si="10"/>
        <v>2743.8390000000004</v>
      </c>
      <c r="V6" s="25">
        <f t="shared" si="11"/>
        <v>2835.3003000000003</v>
      </c>
      <c r="W6" s="25">
        <f t="shared" si="12"/>
        <v>2743.8390000000004</v>
      </c>
      <c r="X6" s="25">
        <f t="shared" si="13"/>
        <v>2835.3003000000003</v>
      </c>
    </row>
    <row r="7" spans="1:24" s="42" customFormat="1" x14ac:dyDescent="0.3">
      <c r="A7" s="42" t="s">
        <v>265</v>
      </c>
      <c r="C7" s="128">
        <v>125.03</v>
      </c>
      <c r="D7" s="19">
        <v>213</v>
      </c>
      <c r="E7" s="17" t="s">
        <v>233</v>
      </c>
      <c r="G7" s="24">
        <f t="shared" ref="G7" si="14">C7*D7</f>
        <v>26631.39</v>
      </c>
      <c r="I7" s="24">
        <v>0.97</v>
      </c>
      <c r="K7" s="24">
        <f t="shared" ref="K7" si="15">G7*I7/365</f>
        <v>70.773830958904114</v>
      </c>
      <c r="L7" s="24">
        <v>0.97</v>
      </c>
      <c r="M7" s="43">
        <f t="shared" ref="M7" si="16">K7*$M$4*$M$2</f>
        <v>2193.9887597260276</v>
      </c>
      <c r="N7" s="43">
        <f t="shared" ref="N7" si="17">K7*$N$4*$N$2</f>
        <v>1981.6672668493152</v>
      </c>
      <c r="O7" s="43">
        <f t="shared" ref="O7" si="18">K7*$O$4*$O$2</f>
        <v>2193.9887597260276</v>
      </c>
      <c r="P7" s="43">
        <f t="shared" ref="P7" si="19">K7*$P$4*$P$2</f>
        <v>2123.2149287671236</v>
      </c>
      <c r="Q7" s="43">
        <f t="shared" ref="Q7" si="20">K7*$Q$4*$Q$2</f>
        <v>2193.9887597260276</v>
      </c>
      <c r="R7" s="43">
        <f t="shared" ref="R7" si="21">K7*$R$4*$R$2</f>
        <v>2123.2149287671236</v>
      </c>
      <c r="S7" s="43">
        <f t="shared" ref="S7" si="22">K7*$S$4*$S$2</f>
        <v>2193.9887597260276</v>
      </c>
      <c r="T7" s="43">
        <f t="shared" ref="T7" si="23">K7*$T$4*$T$2</f>
        <v>2193.9887597260276</v>
      </c>
      <c r="U7" s="43">
        <f t="shared" ref="U7" si="24">K7*$U$4*$U$2</f>
        <v>2123.2149287671236</v>
      </c>
      <c r="V7" s="43">
        <f t="shared" ref="V7" si="25">K7*$V$4*$V$2</f>
        <v>2193.9887597260276</v>
      </c>
      <c r="W7" s="43">
        <f t="shared" ref="W7" si="26">K7*$W$4*$W$2</f>
        <v>2123.2149287671236</v>
      </c>
      <c r="X7" s="43">
        <f t="shared" ref="X7" si="27">K7*$X$4*$X$2</f>
        <v>2193.9887597260276</v>
      </c>
    </row>
    <row r="8" spans="1:24" x14ac:dyDescent="0.3">
      <c r="A8" s="114" t="s">
        <v>125</v>
      </c>
      <c r="B8" s="58" t="s">
        <v>99</v>
      </c>
      <c r="C8" s="129">
        <f>((66.31*7)+(95.26*5))/12</f>
        <v>78.372500000000002</v>
      </c>
      <c r="D8" s="19">
        <v>366</v>
      </c>
      <c r="E8" s="17" t="s">
        <v>230</v>
      </c>
      <c r="F8" s="10"/>
      <c r="G8" s="24">
        <f t="shared" si="0"/>
        <v>28684.334999999999</v>
      </c>
      <c r="H8" s="10"/>
      <c r="I8" s="21">
        <v>1</v>
      </c>
      <c r="J8" s="10"/>
      <c r="K8" s="24">
        <f t="shared" si="1"/>
        <v>78.587219178082194</v>
      </c>
      <c r="L8" s="24">
        <v>0.97</v>
      </c>
      <c r="M8" s="25">
        <f t="shared" si="2"/>
        <v>2436.2037945205479</v>
      </c>
      <c r="N8" s="25">
        <f t="shared" si="3"/>
        <v>2200.4421369863012</v>
      </c>
      <c r="O8" s="25">
        <f t="shared" si="4"/>
        <v>2436.2037945205479</v>
      </c>
      <c r="P8" s="25">
        <f t="shared" si="5"/>
        <v>2357.6165753424657</v>
      </c>
      <c r="Q8" s="25">
        <f t="shared" si="6"/>
        <v>2436.2037945205479</v>
      </c>
      <c r="R8" s="25">
        <f t="shared" si="7"/>
        <v>2357.6165753424657</v>
      </c>
      <c r="S8" s="25">
        <f t="shared" si="8"/>
        <v>2436.2037945205479</v>
      </c>
      <c r="T8" s="25">
        <f t="shared" si="9"/>
        <v>2436.2037945205479</v>
      </c>
      <c r="U8" s="25">
        <f t="shared" si="10"/>
        <v>2357.6165753424657</v>
      </c>
      <c r="V8" s="25">
        <f t="shared" si="11"/>
        <v>2436.2037945205479</v>
      </c>
      <c r="W8" s="25">
        <f t="shared" si="12"/>
        <v>2357.6165753424657</v>
      </c>
      <c r="X8" s="25">
        <f t="shared" si="13"/>
        <v>2436.2037945205479</v>
      </c>
    </row>
    <row r="9" spans="1:24" x14ac:dyDescent="0.3">
      <c r="A9" s="11" t="s">
        <v>126</v>
      </c>
      <c r="B9" s="10"/>
      <c r="C9" s="128">
        <v>111.87</v>
      </c>
      <c r="D9" s="19">
        <v>365</v>
      </c>
      <c r="E9" s="17" t="s">
        <v>231</v>
      </c>
      <c r="F9" s="10"/>
      <c r="G9" s="24">
        <f t="shared" si="0"/>
        <v>40832.550000000003</v>
      </c>
      <c r="H9" s="10"/>
      <c r="I9" s="21">
        <v>0.97</v>
      </c>
      <c r="J9" s="10"/>
      <c r="K9" s="24">
        <f t="shared" si="1"/>
        <v>108.51389999999999</v>
      </c>
      <c r="L9" s="24">
        <v>0.97</v>
      </c>
      <c r="M9" s="25">
        <f t="shared" si="2"/>
        <v>3363.9308999999998</v>
      </c>
      <c r="N9" s="25">
        <f t="shared" si="3"/>
        <v>3038.3891999999996</v>
      </c>
      <c r="O9" s="25">
        <f t="shared" si="4"/>
        <v>3363.9308999999998</v>
      </c>
      <c r="P9" s="25">
        <f t="shared" si="5"/>
        <v>3255.4169999999999</v>
      </c>
      <c r="Q9" s="25">
        <f t="shared" si="6"/>
        <v>3363.9308999999998</v>
      </c>
      <c r="R9" s="25">
        <f t="shared" si="7"/>
        <v>3255.4169999999999</v>
      </c>
      <c r="S9" s="25">
        <f t="shared" si="8"/>
        <v>3363.9308999999998</v>
      </c>
      <c r="T9" s="25">
        <f t="shared" si="9"/>
        <v>3363.9308999999998</v>
      </c>
      <c r="U9" s="25">
        <f t="shared" si="10"/>
        <v>3255.4169999999999</v>
      </c>
      <c r="V9" s="25">
        <f t="shared" si="11"/>
        <v>3363.9308999999998</v>
      </c>
      <c r="W9" s="25">
        <f t="shared" si="12"/>
        <v>3255.4169999999999</v>
      </c>
      <c r="X9" s="25">
        <f t="shared" si="13"/>
        <v>3363.9308999999998</v>
      </c>
    </row>
    <row r="10" spans="1:24" x14ac:dyDescent="0.3">
      <c r="A10" s="11" t="s">
        <v>127</v>
      </c>
      <c r="B10" s="10"/>
      <c r="C10" s="128">
        <v>133.91</v>
      </c>
      <c r="D10" s="19">
        <v>366</v>
      </c>
      <c r="E10" s="17" t="s">
        <v>232</v>
      </c>
      <c r="F10" s="10"/>
      <c r="G10" s="24">
        <f t="shared" si="0"/>
        <v>49011.06</v>
      </c>
      <c r="H10" s="10"/>
      <c r="I10" s="21">
        <v>1</v>
      </c>
      <c r="J10" s="10"/>
      <c r="K10" s="24">
        <f t="shared" si="1"/>
        <v>134.27687671232877</v>
      </c>
      <c r="L10" s="24">
        <v>0.97</v>
      </c>
      <c r="M10" s="25">
        <f t="shared" si="2"/>
        <v>4162.5831780821918</v>
      </c>
      <c r="N10" s="25">
        <f t="shared" si="3"/>
        <v>3759.7525479452056</v>
      </c>
      <c r="O10" s="25">
        <f t="shared" si="4"/>
        <v>4162.5831780821918</v>
      </c>
      <c r="P10" s="25">
        <f t="shared" si="5"/>
        <v>4028.3063013698629</v>
      </c>
      <c r="Q10" s="25">
        <f t="shared" si="6"/>
        <v>4162.5831780821918</v>
      </c>
      <c r="R10" s="25">
        <f t="shared" si="7"/>
        <v>4028.3063013698629</v>
      </c>
      <c r="S10" s="25">
        <f t="shared" si="8"/>
        <v>4162.5831780821918</v>
      </c>
      <c r="T10" s="25">
        <f t="shared" si="9"/>
        <v>4162.5831780821918</v>
      </c>
      <c r="U10" s="25">
        <f t="shared" si="10"/>
        <v>4028.3063013698629</v>
      </c>
      <c r="V10" s="25">
        <f t="shared" si="11"/>
        <v>4162.5831780821918</v>
      </c>
      <c r="W10" s="25">
        <f t="shared" si="12"/>
        <v>4028.3063013698629</v>
      </c>
      <c r="X10" s="25">
        <f t="shared" si="13"/>
        <v>4162.5831780821918</v>
      </c>
    </row>
    <row r="11" spans="1:24" x14ac:dyDescent="0.3">
      <c r="A11" s="11" t="s">
        <v>234</v>
      </c>
      <c r="B11" s="10"/>
      <c r="C11" s="128">
        <v>99.33</v>
      </c>
      <c r="D11" s="19">
        <v>351</v>
      </c>
      <c r="E11" s="17" t="s">
        <v>233</v>
      </c>
      <c r="F11" s="10"/>
      <c r="G11" s="24">
        <f t="shared" si="0"/>
        <v>34864.83</v>
      </c>
      <c r="H11" s="10"/>
      <c r="I11" s="21">
        <v>1</v>
      </c>
      <c r="J11" s="10"/>
      <c r="K11" s="24">
        <f t="shared" si="1"/>
        <v>95.52008219178083</v>
      </c>
      <c r="L11" s="24">
        <v>0.97</v>
      </c>
      <c r="M11" s="25">
        <f t="shared" si="2"/>
        <v>2961.122547945206</v>
      </c>
      <c r="N11" s="25">
        <f t="shared" si="3"/>
        <v>2674.5623013698632</v>
      </c>
      <c r="O11" s="25">
        <f t="shared" si="4"/>
        <v>2961.122547945206</v>
      </c>
      <c r="P11" s="25">
        <f t="shared" si="5"/>
        <v>2865.6024657534249</v>
      </c>
      <c r="Q11" s="25">
        <f t="shared" si="6"/>
        <v>2961.122547945206</v>
      </c>
      <c r="R11" s="25">
        <f t="shared" si="7"/>
        <v>2865.6024657534249</v>
      </c>
      <c r="S11" s="25">
        <f t="shared" si="8"/>
        <v>2961.122547945206</v>
      </c>
      <c r="T11" s="25">
        <f t="shared" si="9"/>
        <v>2961.122547945206</v>
      </c>
      <c r="U11" s="25">
        <f t="shared" si="10"/>
        <v>2865.6024657534249</v>
      </c>
      <c r="V11" s="25">
        <f t="shared" si="11"/>
        <v>2961.122547945206</v>
      </c>
      <c r="W11" s="25">
        <f t="shared" si="12"/>
        <v>2865.6024657534249</v>
      </c>
      <c r="X11" s="25">
        <f t="shared" si="13"/>
        <v>2961.122547945206</v>
      </c>
    </row>
    <row r="12" spans="1:24" x14ac:dyDescent="0.3">
      <c r="A12" s="13" t="s">
        <v>128</v>
      </c>
      <c r="B12" s="10"/>
      <c r="C12" s="128">
        <v>83.73</v>
      </c>
      <c r="D12" s="19">
        <v>365</v>
      </c>
      <c r="E12" s="17" t="s">
        <v>236</v>
      </c>
      <c r="F12" s="10"/>
      <c r="G12" s="24">
        <f t="shared" si="0"/>
        <v>30561.45</v>
      </c>
      <c r="H12" s="10"/>
      <c r="I12" s="21">
        <v>0.97</v>
      </c>
      <c r="J12" s="10"/>
      <c r="K12" s="24">
        <f t="shared" si="1"/>
        <v>81.218100000000007</v>
      </c>
      <c r="L12" s="24">
        <v>0.97</v>
      </c>
      <c r="M12" s="25">
        <f t="shared" si="2"/>
        <v>2517.7611000000002</v>
      </c>
      <c r="N12" s="25">
        <f t="shared" si="3"/>
        <v>2274.1068</v>
      </c>
      <c r="O12" s="25">
        <f t="shared" si="4"/>
        <v>2517.7611000000002</v>
      </c>
      <c r="P12" s="25">
        <f t="shared" si="5"/>
        <v>2436.5430000000001</v>
      </c>
      <c r="Q12" s="25">
        <f t="shared" si="6"/>
        <v>2517.7611000000002</v>
      </c>
      <c r="R12" s="25">
        <f t="shared" si="7"/>
        <v>2436.5430000000001</v>
      </c>
      <c r="S12" s="25">
        <f t="shared" si="8"/>
        <v>2517.7611000000002</v>
      </c>
      <c r="T12" s="25">
        <f t="shared" si="9"/>
        <v>2517.7611000000002</v>
      </c>
      <c r="U12" s="25">
        <f t="shared" si="10"/>
        <v>2436.5430000000001</v>
      </c>
      <c r="V12" s="25">
        <f t="shared" si="11"/>
        <v>2517.7611000000002</v>
      </c>
      <c r="W12" s="25">
        <f t="shared" si="12"/>
        <v>2436.5430000000001</v>
      </c>
      <c r="X12" s="25">
        <f t="shared" si="13"/>
        <v>2517.7611000000002</v>
      </c>
    </row>
    <row r="13" spans="1:24" x14ac:dyDescent="0.3">
      <c r="A13" s="11" t="s">
        <v>129</v>
      </c>
      <c r="B13" s="10" t="s">
        <v>99</v>
      </c>
      <c r="C13" s="128">
        <v>100.38</v>
      </c>
      <c r="D13" s="19">
        <v>365</v>
      </c>
      <c r="E13" s="17" t="s">
        <v>229</v>
      </c>
      <c r="F13" s="10"/>
      <c r="G13" s="24">
        <f t="shared" si="0"/>
        <v>36638.699999999997</v>
      </c>
      <c r="H13" s="10"/>
      <c r="I13" s="24">
        <v>0.97</v>
      </c>
      <c r="J13" s="10"/>
      <c r="K13" s="24">
        <f t="shared" si="1"/>
        <v>97.368599999999986</v>
      </c>
      <c r="L13" s="24">
        <v>0.97</v>
      </c>
      <c r="M13" s="25">
        <f t="shared" si="2"/>
        <v>3018.4265999999998</v>
      </c>
      <c r="N13" s="25">
        <f t="shared" si="3"/>
        <v>2726.3207999999995</v>
      </c>
      <c r="O13" s="25">
        <f t="shared" si="4"/>
        <v>3018.4265999999998</v>
      </c>
      <c r="P13" s="25">
        <f t="shared" si="5"/>
        <v>2921.0579999999995</v>
      </c>
      <c r="Q13" s="25">
        <f t="shared" si="6"/>
        <v>3018.4265999999998</v>
      </c>
      <c r="R13" s="25">
        <f t="shared" si="7"/>
        <v>2921.0579999999995</v>
      </c>
      <c r="S13" s="25">
        <f t="shared" si="8"/>
        <v>3018.4265999999998</v>
      </c>
      <c r="T13" s="25">
        <f t="shared" si="9"/>
        <v>3018.4265999999998</v>
      </c>
      <c r="U13" s="25">
        <f t="shared" si="10"/>
        <v>2921.0579999999995</v>
      </c>
      <c r="V13" s="25">
        <f t="shared" si="11"/>
        <v>3018.4265999999998</v>
      </c>
      <c r="W13" s="25">
        <f t="shared" si="12"/>
        <v>2921.0579999999995</v>
      </c>
      <c r="X13" s="25">
        <f t="shared" si="13"/>
        <v>3018.4265999999998</v>
      </c>
    </row>
    <row r="14" spans="1:24" x14ac:dyDescent="0.3">
      <c r="A14" s="113" t="s">
        <v>135</v>
      </c>
      <c r="B14" s="58"/>
      <c r="C14" s="129">
        <v>111.49</v>
      </c>
      <c r="D14" s="19">
        <v>351</v>
      </c>
      <c r="E14" s="17" t="s">
        <v>237</v>
      </c>
      <c r="F14" s="10"/>
      <c r="G14" s="24">
        <f t="shared" si="0"/>
        <v>39132.99</v>
      </c>
      <c r="H14" s="10"/>
      <c r="I14" s="21">
        <v>1</v>
      </c>
      <c r="J14" s="10"/>
      <c r="K14" s="24">
        <f t="shared" si="1"/>
        <v>107.21367123287671</v>
      </c>
      <c r="L14" s="24">
        <v>0.97</v>
      </c>
      <c r="M14" s="25">
        <f t="shared" si="2"/>
        <v>3323.623808219178</v>
      </c>
      <c r="N14" s="25">
        <f t="shared" si="3"/>
        <v>3001.9827945205479</v>
      </c>
      <c r="O14" s="25">
        <f t="shared" si="4"/>
        <v>3323.623808219178</v>
      </c>
      <c r="P14" s="25">
        <f t="shared" si="5"/>
        <v>3216.410136986301</v>
      </c>
      <c r="Q14" s="25">
        <f t="shared" si="6"/>
        <v>3323.623808219178</v>
      </c>
      <c r="R14" s="25">
        <f t="shared" si="7"/>
        <v>3216.410136986301</v>
      </c>
      <c r="S14" s="25">
        <f t="shared" si="8"/>
        <v>3323.623808219178</v>
      </c>
      <c r="T14" s="25">
        <f t="shared" si="9"/>
        <v>3323.623808219178</v>
      </c>
      <c r="U14" s="25">
        <f t="shared" si="10"/>
        <v>3216.410136986301</v>
      </c>
      <c r="V14" s="25">
        <f t="shared" si="11"/>
        <v>3323.623808219178</v>
      </c>
      <c r="W14" s="25">
        <f t="shared" si="12"/>
        <v>3216.410136986301</v>
      </c>
      <c r="X14" s="25">
        <f t="shared" si="13"/>
        <v>3323.623808219178</v>
      </c>
    </row>
    <row r="15" spans="1:24" x14ac:dyDescent="0.3">
      <c r="A15" s="113" t="s">
        <v>238</v>
      </c>
      <c r="B15" s="10"/>
      <c r="C15" s="128">
        <v>89.28</v>
      </c>
      <c r="D15" s="19">
        <v>365</v>
      </c>
      <c r="E15" s="17" t="s">
        <v>229</v>
      </c>
      <c r="F15" s="10"/>
      <c r="G15" s="24">
        <f t="shared" si="0"/>
        <v>32587.200000000001</v>
      </c>
      <c r="H15" s="10"/>
      <c r="I15" s="21">
        <v>0.97</v>
      </c>
      <c r="J15" s="10"/>
      <c r="K15" s="24">
        <f t="shared" si="1"/>
        <v>86.601599999999991</v>
      </c>
      <c r="L15" s="24">
        <v>0.97</v>
      </c>
      <c r="M15" s="25">
        <f t="shared" si="2"/>
        <v>2684.6495999999997</v>
      </c>
      <c r="N15" s="25">
        <f t="shared" si="3"/>
        <v>2424.8447999999999</v>
      </c>
      <c r="O15" s="25">
        <f t="shared" si="4"/>
        <v>2684.6495999999997</v>
      </c>
      <c r="P15" s="25">
        <f t="shared" si="5"/>
        <v>2598.0479999999998</v>
      </c>
      <c r="Q15" s="25">
        <f t="shared" si="6"/>
        <v>2684.6495999999997</v>
      </c>
      <c r="R15" s="25">
        <f t="shared" si="7"/>
        <v>2598.0479999999998</v>
      </c>
      <c r="S15" s="25">
        <f t="shared" si="8"/>
        <v>2684.6495999999997</v>
      </c>
      <c r="T15" s="25">
        <f t="shared" si="9"/>
        <v>2684.6495999999997</v>
      </c>
      <c r="U15" s="25">
        <f t="shared" si="10"/>
        <v>2598.0479999999998</v>
      </c>
      <c r="V15" s="25">
        <f t="shared" si="11"/>
        <v>2684.6495999999997</v>
      </c>
      <c r="W15" s="25">
        <f t="shared" si="12"/>
        <v>2598.0479999999998</v>
      </c>
      <c r="X15" s="25">
        <f t="shared" si="13"/>
        <v>2684.6495999999997</v>
      </c>
    </row>
    <row r="16" spans="1:24" x14ac:dyDescent="0.3">
      <c r="A16" s="11" t="s">
        <v>239</v>
      </c>
      <c r="B16" s="10" t="s">
        <v>99</v>
      </c>
      <c r="C16" s="128">
        <f>((76.79*2)+97.42*10)/12</f>
        <v>93.981666666666669</v>
      </c>
      <c r="D16" s="19">
        <v>366</v>
      </c>
      <c r="E16" s="17" t="s">
        <v>232</v>
      </c>
      <c r="F16" s="10"/>
      <c r="G16" s="24">
        <f t="shared" si="0"/>
        <v>34397.29</v>
      </c>
      <c r="H16" s="10"/>
      <c r="I16" s="21">
        <v>0.97</v>
      </c>
      <c r="J16" s="10"/>
      <c r="K16" s="24">
        <f t="shared" si="1"/>
        <v>91.41197616438356</v>
      </c>
      <c r="L16" s="24">
        <v>0.97</v>
      </c>
      <c r="M16" s="25">
        <f t="shared" si="2"/>
        <v>2833.7712610958902</v>
      </c>
      <c r="N16" s="25">
        <f t="shared" si="3"/>
        <v>2559.5353326027398</v>
      </c>
      <c r="O16" s="25">
        <f t="shared" si="4"/>
        <v>2833.7712610958902</v>
      </c>
      <c r="P16" s="25">
        <f t="shared" si="5"/>
        <v>2742.3592849315069</v>
      </c>
      <c r="Q16" s="25">
        <f t="shared" si="6"/>
        <v>2833.7712610958902</v>
      </c>
      <c r="R16" s="25">
        <f t="shared" si="7"/>
        <v>2742.3592849315069</v>
      </c>
      <c r="S16" s="25">
        <f t="shared" si="8"/>
        <v>2833.7712610958902</v>
      </c>
      <c r="T16" s="25">
        <f t="shared" si="9"/>
        <v>2833.7712610958902</v>
      </c>
      <c r="U16" s="25">
        <f t="shared" si="10"/>
        <v>2742.3592849315069</v>
      </c>
      <c r="V16" s="25">
        <f t="shared" si="11"/>
        <v>2833.7712610958902</v>
      </c>
      <c r="W16" s="25">
        <f t="shared" si="12"/>
        <v>2742.3592849315069</v>
      </c>
      <c r="X16" s="25">
        <f t="shared" si="13"/>
        <v>2833.7712610958902</v>
      </c>
    </row>
    <row r="17" spans="1:25" x14ac:dyDescent="0.3">
      <c r="A17" s="114" t="s">
        <v>240</v>
      </c>
      <c r="B17" s="10"/>
      <c r="C17" s="128">
        <v>5.88</v>
      </c>
      <c r="D17" s="19">
        <v>366</v>
      </c>
      <c r="E17" s="17" t="s">
        <v>241</v>
      </c>
      <c r="F17" s="10"/>
      <c r="G17" s="24">
        <f t="shared" si="0"/>
        <v>2152.08</v>
      </c>
      <c r="H17" s="10"/>
      <c r="I17" s="21">
        <v>0.97</v>
      </c>
      <c r="J17" s="10"/>
      <c r="K17" s="24">
        <f t="shared" si="1"/>
        <v>5.7192263013698623</v>
      </c>
      <c r="L17" s="24">
        <v>0.97</v>
      </c>
      <c r="M17" s="25">
        <f t="shared" si="2"/>
        <v>177.29601534246572</v>
      </c>
      <c r="N17" s="25">
        <f t="shared" si="3"/>
        <v>160.13833643835613</v>
      </c>
      <c r="O17" s="25">
        <f t="shared" si="4"/>
        <v>177.29601534246572</v>
      </c>
      <c r="P17" s="25">
        <f t="shared" si="5"/>
        <v>171.57678904109588</v>
      </c>
      <c r="Q17" s="25">
        <f t="shared" si="6"/>
        <v>177.29601534246572</v>
      </c>
      <c r="R17" s="25">
        <f t="shared" si="7"/>
        <v>171.57678904109588</v>
      </c>
      <c r="S17" s="25">
        <f t="shared" si="8"/>
        <v>177.29601534246572</v>
      </c>
      <c r="T17" s="25">
        <f t="shared" si="9"/>
        <v>177.29601534246572</v>
      </c>
      <c r="U17" s="25">
        <f t="shared" si="10"/>
        <v>171.57678904109588</v>
      </c>
      <c r="V17" s="25">
        <f t="shared" si="11"/>
        <v>177.29601534246572</v>
      </c>
      <c r="W17" s="25">
        <f t="shared" si="12"/>
        <v>171.57678904109588</v>
      </c>
      <c r="X17" s="25">
        <f t="shared" si="13"/>
        <v>177.29601534246572</v>
      </c>
    </row>
    <row r="18" spans="1:25" x14ac:dyDescent="0.3">
      <c r="A18" s="114" t="s">
        <v>242</v>
      </c>
      <c r="B18" s="10"/>
      <c r="C18" s="128">
        <v>107.94</v>
      </c>
      <c r="D18" s="19">
        <v>366</v>
      </c>
      <c r="E18" s="17" t="s">
        <v>243</v>
      </c>
      <c r="F18" s="10"/>
      <c r="G18" s="24">
        <f t="shared" si="0"/>
        <v>39506.04</v>
      </c>
      <c r="H18" s="10"/>
      <c r="I18" s="21">
        <v>0.97</v>
      </c>
      <c r="J18" s="10"/>
      <c r="K18" s="24">
        <f t="shared" si="1"/>
        <v>104.98865424657535</v>
      </c>
      <c r="L18" s="24">
        <v>0.97</v>
      </c>
      <c r="M18" s="25">
        <f t="shared" si="2"/>
        <v>3254.6482816438361</v>
      </c>
      <c r="N18" s="25">
        <f t="shared" si="3"/>
        <v>2939.6823189041097</v>
      </c>
      <c r="O18" s="25">
        <f t="shared" si="4"/>
        <v>3254.6482816438361</v>
      </c>
      <c r="P18" s="25">
        <f t="shared" si="5"/>
        <v>3149.6596273972605</v>
      </c>
      <c r="Q18" s="25">
        <f t="shared" si="6"/>
        <v>3254.6482816438361</v>
      </c>
      <c r="R18" s="25">
        <f t="shared" si="7"/>
        <v>3149.6596273972605</v>
      </c>
      <c r="S18" s="25">
        <f t="shared" si="8"/>
        <v>3254.6482816438361</v>
      </c>
      <c r="T18" s="25">
        <f t="shared" si="9"/>
        <v>3254.6482816438361</v>
      </c>
      <c r="U18" s="25">
        <f t="shared" si="10"/>
        <v>3149.6596273972605</v>
      </c>
      <c r="V18" s="25">
        <f t="shared" si="11"/>
        <v>3254.6482816438361</v>
      </c>
      <c r="W18" s="25">
        <f t="shared" si="12"/>
        <v>3149.6596273972605</v>
      </c>
      <c r="X18" s="25">
        <f t="shared" si="13"/>
        <v>3254.6482816438361</v>
      </c>
    </row>
    <row r="19" spans="1:25" x14ac:dyDescent="0.3">
      <c r="A19" s="114" t="s">
        <v>130</v>
      </c>
      <c r="B19" s="58"/>
      <c r="C19" s="129">
        <v>90</v>
      </c>
      <c r="D19" s="19">
        <v>350</v>
      </c>
      <c r="E19" s="17" t="s">
        <v>229</v>
      </c>
      <c r="F19" s="10"/>
      <c r="G19" s="24">
        <f t="shared" si="0"/>
        <v>31500</v>
      </c>
      <c r="H19" s="10"/>
      <c r="I19" s="21">
        <v>0.97</v>
      </c>
      <c r="J19" s="10"/>
      <c r="K19" s="24">
        <f t="shared" si="1"/>
        <v>83.712328767123282</v>
      </c>
      <c r="L19" s="24">
        <v>0.97</v>
      </c>
      <c r="M19" s="25">
        <f t="shared" si="2"/>
        <v>2595.0821917808216</v>
      </c>
      <c r="N19" s="25">
        <f t="shared" si="3"/>
        <v>2343.9452054794519</v>
      </c>
      <c r="O19" s="25">
        <f t="shared" si="4"/>
        <v>2595.0821917808216</v>
      </c>
      <c r="P19" s="25">
        <f t="shared" si="5"/>
        <v>2511.3698630136983</v>
      </c>
      <c r="Q19" s="43">
        <f t="shared" si="6"/>
        <v>2595.0821917808216</v>
      </c>
      <c r="R19" s="43">
        <f t="shared" si="7"/>
        <v>2511.3698630136983</v>
      </c>
      <c r="S19" s="43">
        <f t="shared" si="8"/>
        <v>2595.0821917808216</v>
      </c>
      <c r="T19" s="43">
        <f t="shared" si="9"/>
        <v>2595.0821917808216</v>
      </c>
      <c r="U19" s="43">
        <f t="shared" si="10"/>
        <v>2511.3698630136983</v>
      </c>
      <c r="V19" s="43">
        <f t="shared" si="11"/>
        <v>2595.0821917808216</v>
      </c>
      <c r="W19" s="43">
        <f t="shared" si="12"/>
        <v>2511.3698630136983</v>
      </c>
      <c r="X19" s="43">
        <f t="shared" si="13"/>
        <v>2595.0821917808216</v>
      </c>
    </row>
    <row r="20" spans="1:25" x14ac:dyDescent="0.3">
      <c r="A20" s="11" t="s">
        <v>244</v>
      </c>
      <c r="B20" s="10"/>
      <c r="C20" s="128">
        <v>99.7</v>
      </c>
      <c r="D20" s="19">
        <v>366</v>
      </c>
      <c r="E20" s="17" t="s">
        <v>232</v>
      </c>
      <c r="F20" s="10"/>
      <c r="G20" s="24">
        <f t="shared" si="0"/>
        <v>36490.200000000004</v>
      </c>
      <c r="H20" s="10"/>
      <c r="I20" s="21">
        <v>0.97</v>
      </c>
      <c r="J20" s="10"/>
      <c r="K20" s="24">
        <f t="shared" si="1"/>
        <v>96.97395616438358</v>
      </c>
      <c r="L20" s="24">
        <v>0.97</v>
      </c>
      <c r="M20" s="25">
        <f>K20*$M$4*$M$2</f>
        <v>3006.1926410958908</v>
      </c>
      <c r="N20" s="25">
        <f t="shared" si="3"/>
        <v>2715.2707726027402</v>
      </c>
      <c r="O20" s="25">
        <f t="shared" si="4"/>
        <v>3006.1926410958908</v>
      </c>
      <c r="P20" s="25">
        <f t="shared" si="5"/>
        <v>2909.2186849315076</v>
      </c>
      <c r="Q20" s="43">
        <f t="shared" si="6"/>
        <v>3006.1926410958908</v>
      </c>
      <c r="R20" s="43">
        <f t="shared" si="7"/>
        <v>2909.2186849315076</v>
      </c>
      <c r="S20" s="43">
        <f t="shared" si="8"/>
        <v>3006.1926410958908</v>
      </c>
      <c r="T20" s="43">
        <f t="shared" si="9"/>
        <v>3006.1926410958908</v>
      </c>
      <c r="U20" s="43">
        <f t="shared" si="10"/>
        <v>2909.2186849315076</v>
      </c>
      <c r="V20" s="43">
        <f t="shared" si="11"/>
        <v>3006.1926410958908</v>
      </c>
      <c r="W20" s="43">
        <f t="shared" si="12"/>
        <v>2909.2186849315076</v>
      </c>
      <c r="X20" s="43">
        <f t="shared" si="13"/>
        <v>3006.1926410958908</v>
      </c>
    </row>
    <row r="21" spans="1:25" s="42" customFormat="1" x14ac:dyDescent="0.3">
      <c r="A21" s="114" t="s">
        <v>408</v>
      </c>
      <c r="C21" s="128">
        <v>90</v>
      </c>
      <c r="D21" s="19">
        <v>350</v>
      </c>
      <c r="E21" s="17"/>
      <c r="G21" s="24">
        <f t="shared" si="0"/>
        <v>31500</v>
      </c>
      <c r="I21" s="24">
        <v>1</v>
      </c>
      <c r="K21" s="24">
        <f t="shared" ref="K21" si="28">G21*I21/365</f>
        <v>86.301369863013704</v>
      </c>
      <c r="L21" s="24">
        <v>0.97</v>
      </c>
      <c r="M21" s="43">
        <f t="shared" ref="M21" si="29">K21*$M$4*$M$2</f>
        <v>2675.3424657534247</v>
      </c>
      <c r="N21" s="43">
        <f t="shared" ref="N21" si="30">K21*$N$4*$N$2</f>
        <v>2416.4383561643835</v>
      </c>
      <c r="O21" s="43">
        <f t="shared" ref="O21" si="31">K21*$O$4*$O$2</f>
        <v>2675.3424657534247</v>
      </c>
      <c r="P21" s="43">
        <f t="shared" ref="P21" si="32">K21*$P$4*$P$2</f>
        <v>2589.0410958904113</v>
      </c>
      <c r="Q21" s="43">
        <f t="shared" ref="Q21" si="33">K21*$Q$4*$Q$2</f>
        <v>2675.3424657534247</v>
      </c>
      <c r="R21" s="43">
        <f t="shared" ref="R21" si="34">K21*$R$4*$R$2</f>
        <v>2589.0410958904113</v>
      </c>
      <c r="S21" s="43">
        <f t="shared" ref="S21" si="35">K21*$S$4*$S$2</f>
        <v>2675.3424657534247</v>
      </c>
      <c r="T21" s="43">
        <f t="shared" ref="T21" si="36">K21*$T$4*$T$2</f>
        <v>2675.3424657534247</v>
      </c>
      <c r="U21" s="43">
        <f t="shared" ref="U21" si="37">K21*$U$4*$U$2</f>
        <v>2589.0410958904113</v>
      </c>
      <c r="V21" s="43">
        <f t="shared" ref="V21" si="38">K21*$V$4*$V$2</f>
        <v>2675.3424657534247</v>
      </c>
      <c r="W21" s="43">
        <f t="shared" ref="W21" si="39">K21*$W$4*$W$2</f>
        <v>2589.0410958904113</v>
      </c>
      <c r="X21" s="43">
        <f t="shared" ref="X21" si="40">90*X4*0.97</f>
        <v>2706.2999999999997</v>
      </c>
    </row>
    <row r="22" spans="1:25" s="42" customFormat="1" x14ac:dyDescent="0.3">
      <c r="A22" s="11"/>
      <c r="C22" s="128"/>
      <c r="D22" s="19"/>
      <c r="E22" s="17"/>
      <c r="G22" s="24">
        <f>SUM(G5:G21)</f>
        <v>581812.19499999995</v>
      </c>
      <c r="I22" s="24"/>
      <c r="K22" s="24"/>
      <c r="L22" s="24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5" x14ac:dyDescent="0.3">
      <c r="A23" s="11"/>
      <c r="B23" s="10"/>
      <c r="C23" s="128">
        <f>SUM(C5:C21)</f>
        <v>1665.9141666666667</v>
      </c>
      <c r="D23" s="10"/>
      <c r="E23" s="10"/>
      <c r="F23" s="10"/>
      <c r="G23" s="21">
        <f>SUM(G5:G22)</f>
        <v>1163624.3899999999</v>
      </c>
      <c r="H23" s="10"/>
      <c r="I23" s="10"/>
      <c r="J23" s="10"/>
      <c r="K23" s="21">
        <f>SUM(K5:K21)</f>
        <v>1565.5912671232877</v>
      </c>
      <c r="L23" s="24">
        <f t="shared" ref="L23:X23" si="41">SUM(L5:L21)</f>
        <v>16.490000000000002</v>
      </c>
      <c r="M23" s="24">
        <f t="shared" si="41"/>
        <v>48533.329280821919</v>
      </c>
      <c r="N23" s="24">
        <f t="shared" si="41"/>
        <v>43836.555479452065</v>
      </c>
      <c r="O23" s="24">
        <f t="shared" si="41"/>
        <v>48533.329280821919</v>
      </c>
      <c r="P23" s="24">
        <f t="shared" si="41"/>
        <v>46967.738013698647</v>
      </c>
      <c r="Q23" s="24">
        <f t="shared" si="41"/>
        <v>48533.329280821919</v>
      </c>
      <c r="R23" s="24">
        <f t="shared" si="41"/>
        <v>46967.738013698647</v>
      </c>
      <c r="S23" s="24">
        <f t="shared" si="41"/>
        <v>48533.329280821919</v>
      </c>
      <c r="T23" s="24">
        <f t="shared" si="41"/>
        <v>48533.329280821919</v>
      </c>
      <c r="U23" s="24">
        <f t="shared" si="41"/>
        <v>46967.738013698647</v>
      </c>
      <c r="V23" s="24">
        <f t="shared" si="41"/>
        <v>48533.329280821919</v>
      </c>
      <c r="W23" s="24">
        <f t="shared" si="41"/>
        <v>46967.738013698647</v>
      </c>
      <c r="X23" s="24">
        <f t="shared" si="41"/>
        <v>48564.286815068495</v>
      </c>
      <c r="Y23" s="43">
        <f>SUM(M23:X23)</f>
        <v>571471.77003424661</v>
      </c>
    </row>
    <row r="24" spans="1:25" x14ac:dyDescent="0.3">
      <c r="A24" s="12" t="s">
        <v>131</v>
      </c>
      <c r="B24" s="10"/>
      <c r="D24" s="10"/>
      <c r="E24" s="10"/>
      <c r="F24" s="10"/>
      <c r="G24" s="10"/>
      <c r="H24" s="10"/>
      <c r="I24" s="10"/>
      <c r="J24" s="10"/>
      <c r="K24" s="10"/>
      <c r="L24" s="10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5" x14ac:dyDescent="0.3">
      <c r="A25" s="13" t="s">
        <v>132</v>
      </c>
      <c r="B25" s="10"/>
      <c r="C25" s="128">
        <v>112.22</v>
      </c>
      <c r="D25" s="19">
        <v>351</v>
      </c>
      <c r="E25" s="17" t="s">
        <v>230</v>
      </c>
      <c r="F25" s="10"/>
      <c r="G25" s="24">
        <f t="shared" ref="G25:G40" si="42">C25*D25</f>
        <v>39389.22</v>
      </c>
      <c r="H25" s="10"/>
      <c r="I25" s="21">
        <v>1</v>
      </c>
      <c r="J25" s="10"/>
      <c r="K25" s="24">
        <f t="shared" ref="K25:K40" si="43">G25*I25/365</f>
        <v>107.91567123287672</v>
      </c>
      <c r="L25" s="24">
        <v>0.97</v>
      </c>
      <c r="M25" s="25">
        <f t="shared" ref="M25:M37" si="44">K25*$M$4*$M$2</f>
        <v>3345.3858082191782</v>
      </c>
      <c r="N25" s="25">
        <f t="shared" ref="N25:N37" si="45">K25*$N$4*$N$2</f>
        <v>3021.6387945205479</v>
      </c>
      <c r="O25" s="25">
        <f t="shared" ref="O25:O37" si="46">K25*$O$4*$O$2</f>
        <v>3345.3858082191782</v>
      </c>
      <c r="P25" s="25">
        <f t="shared" ref="P25:P37" si="47">K25*$P$4*$P$2</f>
        <v>3237.4701369863014</v>
      </c>
      <c r="Q25" s="25">
        <f t="shared" ref="Q25:Q37" si="48">K25*$Q$4*$Q$2</f>
        <v>3345.3858082191782</v>
      </c>
      <c r="R25" s="25">
        <f t="shared" ref="R25:R37" si="49">K25*$R$4*$R$2</f>
        <v>3237.4701369863014</v>
      </c>
      <c r="S25" s="25">
        <f t="shared" ref="S25:S37" si="50">K25*$S$4*$S$2</f>
        <v>3345.3858082191782</v>
      </c>
      <c r="T25" s="25">
        <f t="shared" ref="T25:T37" si="51">K25*$T$4*$T$2</f>
        <v>3345.3858082191782</v>
      </c>
      <c r="U25" s="25">
        <f t="shared" ref="U25:U37" si="52">K25*$U$4*$U$2</f>
        <v>3237.4701369863014</v>
      </c>
      <c r="V25" s="25">
        <f t="shared" ref="V25:V37" si="53">K25*$V$4*$V$2</f>
        <v>3345.3858082191782</v>
      </c>
      <c r="W25" s="25">
        <f t="shared" ref="W25:W37" si="54">K25*$W$4*$W$2</f>
        <v>3237.4701369863014</v>
      </c>
      <c r="X25" s="25">
        <f t="shared" ref="X25:X37" si="55">K25*$X$4*$X$2</f>
        <v>3345.3858082191782</v>
      </c>
    </row>
    <row r="26" spans="1:25" x14ac:dyDescent="0.3">
      <c r="A26" s="130" t="s">
        <v>133</v>
      </c>
      <c r="B26" s="58"/>
      <c r="C26" s="129">
        <f>(78.5+109)/2</f>
        <v>93.75</v>
      </c>
      <c r="D26" s="19">
        <v>366</v>
      </c>
      <c r="E26" s="17" t="s">
        <v>246</v>
      </c>
      <c r="F26" s="10"/>
      <c r="G26" s="24">
        <f t="shared" si="42"/>
        <v>34312.5</v>
      </c>
      <c r="H26" s="10"/>
      <c r="I26" s="21">
        <v>0.97</v>
      </c>
      <c r="J26" s="10"/>
      <c r="K26" s="24">
        <f t="shared" si="43"/>
        <v>91.186643835616437</v>
      </c>
      <c r="L26" s="24">
        <v>0.97</v>
      </c>
      <c r="M26" s="25">
        <f t="shared" si="44"/>
        <v>2826.7859589041095</v>
      </c>
      <c r="N26" s="25">
        <f t="shared" si="45"/>
        <v>2553.2260273972602</v>
      </c>
      <c r="O26" s="25">
        <f t="shared" si="46"/>
        <v>2826.7859589041095</v>
      </c>
      <c r="P26" s="25">
        <f t="shared" si="47"/>
        <v>2735.5993150684931</v>
      </c>
      <c r="Q26" s="25">
        <f t="shared" si="48"/>
        <v>2826.7859589041095</v>
      </c>
      <c r="R26" s="25">
        <f t="shared" si="49"/>
        <v>2735.5993150684931</v>
      </c>
      <c r="S26" s="25">
        <f t="shared" si="50"/>
        <v>2826.7859589041095</v>
      </c>
      <c r="T26" s="25">
        <f t="shared" si="51"/>
        <v>2826.7859589041095</v>
      </c>
      <c r="U26" s="25">
        <f t="shared" si="52"/>
        <v>2735.5993150684931</v>
      </c>
      <c r="V26" s="25">
        <f t="shared" si="53"/>
        <v>2826.7859589041095</v>
      </c>
      <c r="W26" s="25">
        <f t="shared" si="54"/>
        <v>2735.5993150684931</v>
      </c>
      <c r="X26" s="25">
        <f t="shared" si="55"/>
        <v>2826.7859589041095</v>
      </c>
    </row>
    <row r="27" spans="1:25" x14ac:dyDescent="0.3">
      <c r="A27" s="113" t="s">
        <v>245</v>
      </c>
      <c r="B27" s="58"/>
      <c r="C27" s="129">
        <f>(106.33/3)+(211/3*2)</f>
        <v>176.10999999999999</v>
      </c>
      <c r="D27" s="148">
        <v>366</v>
      </c>
      <c r="E27" s="17" t="s">
        <v>233</v>
      </c>
      <c r="F27" s="10"/>
      <c r="G27" s="24">
        <f t="shared" si="42"/>
        <v>64456.259999999995</v>
      </c>
      <c r="H27" s="10"/>
      <c r="I27" s="21">
        <v>0.97</v>
      </c>
      <c r="J27" s="10"/>
      <c r="K27" s="24">
        <f t="shared" si="43"/>
        <v>171.29471835616437</v>
      </c>
      <c r="L27" s="24">
        <v>0.97</v>
      </c>
      <c r="M27" s="25">
        <f t="shared" si="44"/>
        <v>5310.1362690410951</v>
      </c>
      <c r="N27" s="25">
        <f t="shared" si="45"/>
        <v>4796.2521139726023</v>
      </c>
      <c r="O27" s="25">
        <f t="shared" si="46"/>
        <v>5310.1362690410951</v>
      </c>
      <c r="P27" s="25">
        <f t="shared" si="47"/>
        <v>5138.8415506849306</v>
      </c>
      <c r="Q27" s="25">
        <f t="shared" si="48"/>
        <v>5310.1362690410951</v>
      </c>
      <c r="R27" s="25">
        <f t="shared" si="49"/>
        <v>5138.8415506849306</v>
      </c>
      <c r="S27" s="25">
        <f t="shared" si="50"/>
        <v>5310.1362690410951</v>
      </c>
      <c r="T27" s="25">
        <f t="shared" si="51"/>
        <v>5310.1362690410951</v>
      </c>
      <c r="U27" s="25">
        <f t="shared" si="52"/>
        <v>5138.8415506849306</v>
      </c>
      <c r="V27" s="25">
        <f t="shared" si="53"/>
        <v>5310.1362690410951</v>
      </c>
      <c r="W27" s="25">
        <f t="shared" si="54"/>
        <v>5138.8415506849306</v>
      </c>
      <c r="X27" s="25">
        <f t="shared" si="55"/>
        <v>5310.1362690410951</v>
      </c>
    </row>
    <row r="28" spans="1:25" x14ac:dyDescent="0.3">
      <c r="A28" s="38" t="s">
        <v>247</v>
      </c>
      <c r="B28" s="10"/>
      <c r="C28" s="129">
        <v>99.54</v>
      </c>
      <c r="D28" s="19">
        <v>365</v>
      </c>
      <c r="E28" s="17" t="s">
        <v>263</v>
      </c>
      <c r="F28" s="10"/>
      <c r="G28" s="24">
        <f t="shared" si="42"/>
        <v>36332.100000000006</v>
      </c>
      <c r="H28" s="10"/>
      <c r="I28" s="21">
        <v>0.97</v>
      </c>
      <c r="J28" s="10"/>
      <c r="K28" s="24">
        <f t="shared" si="43"/>
        <v>96.55380000000001</v>
      </c>
      <c r="L28" s="24">
        <v>0.97</v>
      </c>
      <c r="M28" s="25">
        <f t="shared" si="44"/>
        <v>2993.1678000000002</v>
      </c>
      <c r="N28" s="25">
        <f t="shared" si="45"/>
        <v>2703.5064000000002</v>
      </c>
      <c r="O28" s="25">
        <f t="shared" si="46"/>
        <v>2993.1678000000002</v>
      </c>
      <c r="P28" s="25">
        <f t="shared" si="47"/>
        <v>2896.6140000000005</v>
      </c>
      <c r="Q28" s="25">
        <f t="shared" si="48"/>
        <v>2993.1678000000002</v>
      </c>
      <c r="R28" s="25">
        <f t="shared" si="49"/>
        <v>2896.6140000000005</v>
      </c>
      <c r="S28" s="25">
        <f t="shared" si="50"/>
        <v>2993.1678000000002</v>
      </c>
      <c r="T28" s="25">
        <f t="shared" si="51"/>
        <v>2993.1678000000002</v>
      </c>
      <c r="U28" s="25">
        <f t="shared" si="52"/>
        <v>2896.6140000000005</v>
      </c>
      <c r="V28" s="25">
        <f t="shared" si="53"/>
        <v>2993.1678000000002</v>
      </c>
      <c r="W28" s="25">
        <f t="shared" si="54"/>
        <v>2896.6140000000005</v>
      </c>
      <c r="X28" s="25">
        <f t="shared" si="55"/>
        <v>2993.1678000000002</v>
      </c>
    </row>
    <row r="29" spans="1:25" x14ac:dyDescent="0.3">
      <c r="A29" s="38" t="s">
        <v>248</v>
      </c>
      <c r="B29" s="10"/>
      <c r="C29" s="128">
        <v>114.11</v>
      </c>
      <c r="D29" s="19">
        <v>365</v>
      </c>
      <c r="E29" s="17" t="s">
        <v>237</v>
      </c>
      <c r="F29" s="10"/>
      <c r="G29" s="24">
        <f t="shared" si="42"/>
        <v>41650.15</v>
      </c>
      <c r="H29" s="10"/>
      <c r="I29" s="21">
        <v>0.97</v>
      </c>
      <c r="J29" s="10"/>
      <c r="K29" s="24">
        <f t="shared" si="43"/>
        <v>110.6867</v>
      </c>
      <c r="L29" s="24">
        <v>0.97</v>
      </c>
      <c r="M29" s="25">
        <f t="shared" si="44"/>
        <v>3431.2876999999999</v>
      </c>
      <c r="N29" s="25">
        <f t="shared" si="45"/>
        <v>3099.2276000000002</v>
      </c>
      <c r="O29" s="25">
        <f t="shared" si="46"/>
        <v>3431.2876999999999</v>
      </c>
      <c r="P29" s="25">
        <f t="shared" si="47"/>
        <v>3320.6010000000001</v>
      </c>
      <c r="Q29" s="25">
        <f t="shared" si="48"/>
        <v>3431.2876999999999</v>
      </c>
      <c r="R29" s="25">
        <f t="shared" si="49"/>
        <v>3320.6010000000001</v>
      </c>
      <c r="S29" s="25">
        <f t="shared" si="50"/>
        <v>3431.2876999999999</v>
      </c>
      <c r="T29" s="25">
        <f t="shared" si="51"/>
        <v>3431.2876999999999</v>
      </c>
      <c r="U29" s="25">
        <f t="shared" si="52"/>
        <v>3320.6010000000001</v>
      </c>
      <c r="V29" s="25">
        <f t="shared" si="53"/>
        <v>3431.2876999999999</v>
      </c>
      <c r="W29" s="25">
        <f t="shared" si="54"/>
        <v>3320.6010000000001</v>
      </c>
      <c r="X29" s="25">
        <f t="shared" si="55"/>
        <v>3431.2876999999999</v>
      </c>
    </row>
    <row r="30" spans="1:25" s="42" customFormat="1" x14ac:dyDescent="0.3">
      <c r="A30" s="38" t="s">
        <v>330</v>
      </c>
      <c r="C30" s="128">
        <v>102.85</v>
      </c>
      <c r="D30" s="19">
        <v>350</v>
      </c>
      <c r="E30" s="17"/>
      <c r="G30" s="24">
        <f t="shared" si="42"/>
        <v>35997.5</v>
      </c>
      <c r="I30" s="24">
        <v>0.97</v>
      </c>
      <c r="K30" s="24">
        <f t="shared" ref="K30" si="56">G30*I30/365</f>
        <v>95.66458904109588</v>
      </c>
      <c r="L30" s="24">
        <v>0.97</v>
      </c>
      <c r="M30" s="43">
        <f t="shared" ref="M30" si="57">K30*$M$4*$M$2</f>
        <v>2965.6022602739722</v>
      </c>
      <c r="N30" s="43">
        <f t="shared" ref="N30" si="58">K30*$N$4*$N$2</f>
        <v>2678.6084931506848</v>
      </c>
      <c r="O30" s="43">
        <f t="shared" ref="O30" si="59">K30*$O$4*$O$2</f>
        <v>2965.6022602739722</v>
      </c>
      <c r="P30" s="43">
        <f t="shared" ref="P30" si="60">K30*$P$4*$P$2</f>
        <v>2869.9376712328763</v>
      </c>
      <c r="Q30" s="43">
        <f t="shared" ref="Q30" si="61">K30*$Q$4*$Q$2</f>
        <v>2965.6022602739722</v>
      </c>
      <c r="R30" s="43">
        <f t="shared" ref="R30" si="62">K30*$R$4*$R$2</f>
        <v>2869.9376712328763</v>
      </c>
      <c r="S30" s="43">
        <f t="shared" ref="S30" si="63">K30*$S$4*$S$2</f>
        <v>2965.6022602739722</v>
      </c>
      <c r="T30" s="43">
        <f t="shared" ref="T30" si="64">K30*$T$4*$T$2</f>
        <v>2965.6022602739722</v>
      </c>
      <c r="U30" s="43">
        <f t="shared" ref="U30" si="65">K30*$U$4*$U$2</f>
        <v>2869.9376712328763</v>
      </c>
      <c r="V30" s="43">
        <f t="shared" ref="V30" si="66">K30*$V$4*$V$2</f>
        <v>2965.6022602739722</v>
      </c>
      <c r="W30" s="43">
        <f t="shared" ref="W30" si="67">K30*$W$4*$W$2</f>
        <v>2869.9376712328763</v>
      </c>
      <c r="X30" s="43">
        <f t="shared" ref="X30" si="68">K30*$X$4*$X$2</f>
        <v>2965.6022602739722</v>
      </c>
    </row>
    <row r="31" spans="1:25" x14ac:dyDescent="0.3">
      <c r="A31" s="38" t="s">
        <v>249</v>
      </c>
      <c r="B31" s="10"/>
      <c r="C31" s="128">
        <v>99.69</v>
      </c>
      <c r="D31" s="19">
        <v>366</v>
      </c>
      <c r="E31" s="17" t="s">
        <v>232</v>
      </c>
      <c r="F31" s="10"/>
      <c r="G31" s="24">
        <f t="shared" si="42"/>
        <v>36486.54</v>
      </c>
      <c r="H31" s="10"/>
      <c r="I31" s="21">
        <v>0.85</v>
      </c>
      <c r="J31" s="10"/>
      <c r="K31" s="24">
        <f t="shared" si="43"/>
        <v>84.968654794520546</v>
      </c>
      <c r="L31" s="24">
        <v>0.97</v>
      </c>
      <c r="M31" s="25">
        <f t="shared" si="44"/>
        <v>2634.0282986301368</v>
      </c>
      <c r="N31" s="25">
        <f t="shared" si="45"/>
        <v>2379.1223342465755</v>
      </c>
      <c r="O31" s="25">
        <f t="shared" si="46"/>
        <v>2634.0282986301368</v>
      </c>
      <c r="P31" s="25">
        <f t="shared" si="47"/>
        <v>2549.0596438356165</v>
      </c>
      <c r="Q31" s="25">
        <f t="shared" si="48"/>
        <v>2634.0282986301368</v>
      </c>
      <c r="R31" s="25">
        <f t="shared" si="49"/>
        <v>2549.0596438356165</v>
      </c>
      <c r="S31" s="25">
        <f t="shared" si="50"/>
        <v>2634.0282986301368</v>
      </c>
      <c r="T31" s="25">
        <f t="shared" si="51"/>
        <v>2634.0282986301368</v>
      </c>
      <c r="U31" s="25">
        <f t="shared" si="52"/>
        <v>2549.0596438356165</v>
      </c>
      <c r="V31" s="25">
        <f t="shared" si="53"/>
        <v>2634.0282986301368</v>
      </c>
      <c r="W31" s="25">
        <f t="shared" si="54"/>
        <v>2549.0596438356165</v>
      </c>
      <c r="X31" s="25">
        <f t="shared" si="55"/>
        <v>2634.0282986301368</v>
      </c>
    </row>
    <row r="32" spans="1:25" s="42" customFormat="1" x14ac:dyDescent="0.3">
      <c r="A32" s="38" t="s">
        <v>380</v>
      </c>
      <c r="C32" s="128">
        <v>115.52</v>
      </c>
      <c r="D32" s="19">
        <v>366</v>
      </c>
      <c r="E32" s="17"/>
      <c r="G32" s="24">
        <f t="shared" si="42"/>
        <v>42280.32</v>
      </c>
      <c r="I32" s="24">
        <v>0.97</v>
      </c>
      <c r="K32" s="24">
        <f t="shared" si="43"/>
        <v>112.36139835616439</v>
      </c>
      <c r="L32" s="24">
        <v>0.97</v>
      </c>
      <c r="M32" s="43">
        <f t="shared" si="44"/>
        <v>3483.2033490410959</v>
      </c>
      <c r="N32" s="43">
        <f t="shared" si="45"/>
        <v>3146.1191539726028</v>
      </c>
      <c r="O32" s="43">
        <f t="shared" si="46"/>
        <v>3483.2033490410959</v>
      </c>
      <c r="P32" s="43">
        <f t="shared" si="47"/>
        <v>3370.8419506849314</v>
      </c>
      <c r="Q32" s="43">
        <f t="shared" si="48"/>
        <v>3483.2033490410959</v>
      </c>
      <c r="R32" s="43">
        <f t="shared" si="49"/>
        <v>3370.8419506849314</v>
      </c>
      <c r="S32" s="43">
        <f t="shared" si="50"/>
        <v>3483.2033490410959</v>
      </c>
      <c r="T32" s="43">
        <f t="shared" si="51"/>
        <v>3483.2033490410959</v>
      </c>
      <c r="U32" s="43">
        <f t="shared" si="52"/>
        <v>3370.8419506849314</v>
      </c>
      <c r="V32" s="43">
        <f t="shared" si="53"/>
        <v>3483.2033490410959</v>
      </c>
      <c r="W32" s="43">
        <f t="shared" si="54"/>
        <v>3370.8419506849314</v>
      </c>
      <c r="X32" s="43">
        <f t="shared" si="55"/>
        <v>3483.2033490410959</v>
      </c>
    </row>
    <row r="33" spans="1:25" x14ac:dyDescent="0.3">
      <c r="A33" s="38" t="s">
        <v>250</v>
      </c>
      <c r="B33" s="10" t="s">
        <v>99</v>
      </c>
      <c r="C33" s="128">
        <v>90.12</v>
      </c>
      <c r="D33" s="19">
        <v>365</v>
      </c>
      <c r="E33" s="17" t="s">
        <v>251</v>
      </c>
      <c r="F33" s="10"/>
      <c r="G33" s="24">
        <f t="shared" si="42"/>
        <v>32893.800000000003</v>
      </c>
      <c r="H33" s="10"/>
      <c r="I33" s="21">
        <v>0.97</v>
      </c>
      <c r="J33" s="10"/>
      <c r="K33" s="24">
        <f t="shared" si="43"/>
        <v>87.416399999999996</v>
      </c>
      <c r="L33" s="24">
        <v>0.97</v>
      </c>
      <c r="M33" s="25">
        <f t="shared" si="44"/>
        <v>2709.9083999999998</v>
      </c>
      <c r="N33" s="25">
        <f t="shared" si="45"/>
        <v>2447.6592000000001</v>
      </c>
      <c r="O33" s="25">
        <f t="shared" si="46"/>
        <v>2709.9083999999998</v>
      </c>
      <c r="P33" s="25">
        <f t="shared" si="47"/>
        <v>2622.4919999999997</v>
      </c>
      <c r="Q33" s="25">
        <f t="shared" si="48"/>
        <v>2709.9083999999998</v>
      </c>
      <c r="R33" s="25">
        <f t="shared" si="49"/>
        <v>2622.4919999999997</v>
      </c>
      <c r="S33" s="25">
        <f t="shared" si="50"/>
        <v>2709.9083999999998</v>
      </c>
      <c r="T33" s="25">
        <f t="shared" si="51"/>
        <v>2709.9083999999998</v>
      </c>
      <c r="U33" s="25">
        <f t="shared" si="52"/>
        <v>2622.4919999999997</v>
      </c>
      <c r="V33" s="25">
        <f t="shared" si="53"/>
        <v>2709.9083999999998</v>
      </c>
      <c r="W33" s="25">
        <f t="shared" si="54"/>
        <v>2622.4919999999997</v>
      </c>
      <c r="X33" s="25">
        <f t="shared" si="55"/>
        <v>2709.9083999999998</v>
      </c>
    </row>
    <row r="34" spans="1:25" x14ac:dyDescent="0.3">
      <c r="A34" s="38" t="s">
        <v>136</v>
      </c>
      <c r="B34" s="10"/>
      <c r="C34" s="128">
        <v>115.21</v>
      </c>
      <c r="D34" s="19">
        <v>350</v>
      </c>
      <c r="E34" s="17" t="s">
        <v>237</v>
      </c>
      <c r="F34" s="10"/>
      <c r="G34" s="24">
        <f t="shared" si="42"/>
        <v>40323.5</v>
      </c>
      <c r="H34" s="10"/>
      <c r="I34" s="21">
        <v>1</v>
      </c>
      <c r="J34" s="10"/>
      <c r="K34" s="24">
        <f t="shared" si="43"/>
        <v>110.47534246575343</v>
      </c>
      <c r="L34" s="24">
        <v>0.97</v>
      </c>
      <c r="M34" s="25">
        <f t="shared" si="44"/>
        <v>3424.7356164383564</v>
      </c>
      <c r="N34" s="25">
        <f t="shared" si="45"/>
        <v>3093.3095890410959</v>
      </c>
      <c r="O34" s="25">
        <f t="shared" si="46"/>
        <v>3424.7356164383564</v>
      </c>
      <c r="P34" s="25">
        <f t="shared" si="47"/>
        <v>3314.260273972603</v>
      </c>
      <c r="Q34" s="25">
        <f t="shared" si="48"/>
        <v>3424.7356164383564</v>
      </c>
      <c r="R34" s="25">
        <f t="shared" si="49"/>
        <v>3314.260273972603</v>
      </c>
      <c r="S34" s="25">
        <f t="shared" si="50"/>
        <v>3424.7356164383564</v>
      </c>
      <c r="T34" s="25">
        <f t="shared" si="51"/>
        <v>3424.7356164383564</v>
      </c>
      <c r="U34" s="25">
        <f t="shared" si="52"/>
        <v>3314.260273972603</v>
      </c>
      <c r="V34" s="25">
        <f t="shared" si="53"/>
        <v>3424.7356164383564</v>
      </c>
      <c r="W34" s="25">
        <f t="shared" si="54"/>
        <v>3314.260273972603</v>
      </c>
      <c r="X34" s="25">
        <f t="shared" si="55"/>
        <v>3424.7356164383564</v>
      </c>
    </row>
    <row r="35" spans="1:25" x14ac:dyDescent="0.3">
      <c r="A35" s="38" t="s">
        <v>252</v>
      </c>
      <c r="B35" s="10"/>
      <c r="C35" s="128">
        <v>101.01</v>
      </c>
      <c r="D35" s="19">
        <v>365</v>
      </c>
      <c r="E35" s="17" t="s">
        <v>241</v>
      </c>
      <c r="F35" s="10"/>
      <c r="G35" s="24">
        <f t="shared" si="42"/>
        <v>36868.65</v>
      </c>
      <c r="H35" s="10"/>
      <c r="I35" s="21">
        <v>0.97</v>
      </c>
      <c r="J35" s="10"/>
      <c r="K35" s="24">
        <f t="shared" si="43"/>
        <v>97.979699999999994</v>
      </c>
      <c r="L35" s="24">
        <v>0.97</v>
      </c>
      <c r="M35" s="25">
        <f t="shared" si="44"/>
        <v>3037.3706999999999</v>
      </c>
      <c r="N35" s="25">
        <f t="shared" si="45"/>
        <v>2743.4315999999999</v>
      </c>
      <c r="O35" s="25">
        <f t="shared" si="46"/>
        <v>3037.3706999999999</v>
      </c>
      <c r="P35" s="25">
        <f t="shared" si="47"/>
        <v>2939.3909999999996</v>
      </c>
      <c r="Q35" s="25">
        <f t="shared" si="48"/>
        <v>3037.3706999999999</v>
      </c>
      <c r="R35" s="25">
        <f t="shared" si="49"/>
        <v>2939.3909999999996</v>
      </c>
      <c r="S35" s="25">
        <f t="shared" si="50"/>
        <v>3037.3706999999999</v>
      </c>
      <c r="T35" s="25">
        <f t="shared" si="51"/>
        <v>3037.3706999999999</v>
      </c>
      <c r="U35" s="25">
        <f t="shared" si="52"/>
        <v>2939.3909999999996</v>
      </c>
      <c r="V35" s="25">
        <f t="shared" si="53"/>
        <v>3037.3706999999999</v>
      </c>
      <c r="W35" s="25">
        <f t="shared" si="54"/>
        <v>2939.3909999999996</v>
      </c>
      <c r="X35" s="25">
        <f t="shared" si="55"/>
        <v>3037.3706999999999</v>
      </c>
    </row>
    <row r="36" spans="1:25" x14ac:dyDescent="0.3">
      <c r="A36" s="130" t="s">
        <v>137</v>
      </c>
      <c r="B36" s="58"/>
      <c r="C36" s="129">
        <v>88.43</v>
      </c>
      <c r="D36" s="19">
        <v>360</v>
      </c>
      <c r="E36" s="17" t="s">
        <v>235</v>
      </c>
      <c r="F36" s="10"/>
      <c r="G36" s="24">
        <f t="shared" si="42"/>
        <v>31834.800000000003</v>
      </c>
      <c r="H36" s="10"/>
      <c r="I36" s="21">
        <v>1</v>
      </c>
      <c r="J36" s="10"/>
      <c r="K36" s="24">
        <f t="shared" si="43"/>
        <v>87.218630136986306</v>
      </c>
      <c r="L36" s="24">
        <v>0.97</v>
      </c>
      <c r="M36" s="25">
        <f t="shared" si="44"/>
        <v>2703.7775342465757</v>
      </c>
      <c r="N36" s="25">
        <f t="shared" si="45"/>
        <v>2442.1216438356164</v>
      </c>
      <c r="O36" s="25">
        <f t="shared" si="46"/>
        <v>2703.7775342465757</v>
      </c>
      <c r="P36" s="25">
        <f t="shared" si="47"/>
        <v>2616.5589041095891</v>
      </c>
      <c r="Q36" s="25">
        <f t="shared" si="48"/>
        <v>2703.7775342465757</v>
      </c>
      <c r="R36" s="25">
        <f t="shared" si="49"/>
        <v>2616.5589041095891</v>
      </c>
      <c r="S36" s="25">
        <f t="shared" si="50"/>
        <v>2703.7775342465757</v>
      </c>
      <c r="T36" s="25">
        <f t="shared" si="51"/>
        <v>2703.7775342465757</v>
      </c>
      <c r="U36" s="25">
        <f t="shared" si="52"/>
        <v>2616.5589041095891</v>
      </c>
      <c r="V36" s="25">
        <f t="shared" si="53"/>
        <v>2703.7775342465757</v>
      </c>
      <c r="W36" s="25">
        <f t="shared" si="54"/>
        <v>2616.5589041095891</v>
      </c>
      <c r="X36" s="25">
        <f t="shared" si="55"/>
        <v>2703.7775342465757</v>
      </c>
    </row>
    <row r="37" spans="1:25" x14ac:dyDescent="0.3">
      <c r="A37" s="113" t="s">
        <v>138</v>
      </c>
      <c r="B37" s="58"/>
      <c r="C37" s="129">
        <v>91</v>
      </c>
      <c r="D37" s="19">
        <v>350</v>
      </c>
      <c r="E37" s="17" t="s">
        <v>253</v>
      </c>
      <c r="F37" s="10"/>
      <c r="G37" s="24">
        <f t="shared" si="42"/>
        <v>31850</v>
      </c>
      <c r="H37" s="10"/>
      <c r="I37" s="21">
        <v>1</v>
      </c>
      <c r="J37" s="10"/>
      <c r="K37" s="24">
        <f t="shared" si="43"/>
        <v>87.260273972602747</v>
      </c>
      <c r="L37" s="24">
        <v>0.97</v>
      </c>
      <c r="M37" s="25">
        <f t="shared" si="44"/>
        <v>2705.0684931506853</v>
      </c>
      <c r="N37" s="25">
        <f t="shared" si="45"/>
        <v>2443.2876712328771</v>
      </c>
      <c r="O37" s="25">
        <f t="shared" si="46"/>
        <v>2705.0684931506853</v>
      </c>
      <c r="P37" s="25">
        <f t="shared" si="47"/>
        <v>2617.8082191780823</v>
      </c>
      <c r="Q37" s="25">
        <f t="shared" si="48"/>
        <v>2705.0684931506853</v>
      </c>
      <c r="R37" s="25">
        <f t="shared" si="49"/>
        <v>2617.8082191780823</v>
      </c>
      <c r="S37" s="25">
        <f t="shared" si="50"/>
        <v>2705.0684931506853</v>
      </c>
      <c r="T37" s="25">
        <f t="shared" si="51"/>
        <v>2705.0684931506853</v>
      </c>
      <c r="U37" s="25">
        <f t="shared" si="52"/>
        <v>2617.8082191780823</v>
      </c>
      <c r="V37" s="25">
        <f t="shared" si="53"/>
        <v>2705.0684931506853</v>
      </c>
      <c r="W37" s="25">
        <f t="shared" si="54"/>
        <v>2617.8082191780823</v>
      </c>
      <c r="X37" s="25">
        <f t="shared" si="55"/>
        <v>2705.0684931506853</v>
      </c>
    </row>
    <row r="38" spans="1:25" s="42" customFormat="1" x14ac:dyDescent="0.3">
      <c r="A38" s="38" t="s">
        <v>254</v>
      </c>
      <c r="C38" s="128">
        <v>109.6</v>
      </c>
      <c r="D38" s="19">
        <v>366</v>
      </c>
      <c r="E38" s="17" t="s">
        <v>255</v>
      </c>
      <c r="G38" s="24">
        <f t="shared" si="42"/>
        <v>40113.599999999999</v>
      </c>
      <c r="I38" s="24">
        <v>0.97</v>
      </c>
      <c r="K38" s="24">
        <f>C38</f>
        <v>109.6</v>
      </c>
      <c r="L38" s="24">
        <v>0.97</v>
      </c>
      <c r="M38" s="43">
        <f>K38*$M$4*$M$2</f>
        <v>3397.6</v>
      </c>
      <c r="N38" s="43">
        <f>K38*$N$4*$N$2</f>
        <v>3068.7999999999997</v>
      </c>
      <c r="O38" s="43">
        <f>K38*$O$4*$O$2</f>
        <v>3397.6</v>
      </c>
      <c r="P38" s="43">
        <f>K38*$P$4*$P$2</f>
        <v>3288</v>
      </c>
      <c r="Q38" s="43">
        <f>K38*$Q$4*$Q$2</f>
        <v>3397.6</v>
      </c>
      <c r="R38" s="43">
        <f>K38*$R$4*$R$2</f>
        <v>3288</v>
      </c>
      <c r="S38" s="43">
        <f>K38*$S$4*$S$2</f>
        <v>3397.6</v>
      </c>
      <c r="T38" s="43">
        <f>K38*$T$4*$T$2</f>
        <v>3397.6</v>
      </c>
      <c r="U38" s="43">
        <f>K38*$U$4*$U$2</f>
        <v>3288</v>
      </c>
      <c r="V38" s="43">
        <f>K38*$V$4*$V$2</f>
        <v>3397.6</v>
      </c>
      <c r="W38" s="43">
        <f>K38*$W$4*$W$2</f>
        <v>3288</v>
      </c>
      <c r="X38" s="43">
        <f>K38*$X$4*$X$2</f>
        <v>3397.6</v>
      </c>
    </row>
    <row r="39" spans="1:25" s="42" customFormat="1" x14ac:dyDescent="0.3">
      <c r="A39" s="38"/>
      <c r="C39" s="128"/>
      <c r="D39" s="19"/>
      <c r="E39" s="17"/>
      <c r="G39" s="24"/>
      <c r="I39" s="24"/>
      <c r="K39" s="24"/>
      <c r="L39" s="24"/>
      <c r="M39" s="43">
        <v>-1039.5</v>
      </c>
      <c r="N39" s="43">
        <v>-1039.5</v>
      </c>
      <c r="O39" s="43">
        <v>-1039.5</v>
      </c>
      <c r="P39" s="43">
        <v>-1039.5</v>
      </c>
      <c r="Q39" s="43">
        <v>-1039.5</v>
      </c>
      <c r="R39" s="43">
        <v>-1039.5</v>
      </c>
      <c r="S39" s="43">
        <v>-1039.5</v>
      </c>
      <c r="T39" s="43">
        <v>-1039.5</v>
      </c>
      <c r="U39" s="43">
        <v>-1039.5</v>
      </c>
      <c r="V39" s="43">
        <v>-1039.5</v>
      </c>
      <c r="W39" s="43">
        <v>-1039.5</v>
      </c>
      <c r="X39" s="43">
        <v>-1039.5</v>
      </c>
    </row>
    <row r="40" spans="1:25" x14ac:dyDescent="0.3">
      <c r="A40" s="38" t="s">
        <v>407</v>
      </c>
      <c r="B40" s="10"/>
      <c r="C40" s="128">
        <v>90</v>
      </c>
      <c r="D40" s="19">
        <v>350</v>
      </c>
      <c r="E40" s="17" t="s">
        <v>124</v>
      </c>
      <c r="F40" s="10"/>
      <c r="G40" s="24">
        <f t="shared" si="42"/>
        <v>31500</v>
      </c>
      <c r="H40" s="10"/>
      <c r="I40" s="21">
        <v>1</v>
      </c>
      <c r="J40" s="10"/>
      <c r="K40" s="24">
        <f t="shared" si="43"/>
        <v>86.301369863013704</v>
      </c>
      <c r="L40" s="24">
        <v>0.97</v>
      </c>
      <c r="M40" s="43">
        <f>K40*$M$4*$M$2</f>
        <v>2675.3424657534247</v>
      </c>
      <c r="N40" s="43">
        <f>K40*$N$4*$N$2</f>
        <v>2416.4383561643835</v>
      </c>
      <c r="O40" s="43">
        <f>K40*$O$4*$O$2</f>
        <v>2675.3424657534247</v>
      </c>
      <c r="P40" s="43">
        <f>K40*$P$4*$P$2</f>
        <v>2589.0410958904113</v>
      </c>
      <c r="Q40" s="43">
        <f>K40*$Q$4*$Q$2</f>
        <v>2675.3424657534247</v>
      </c>
      <c r="R40" s="43">
        <f>K40*$R$4*$R$2</f>
        <v>2589.0410958904113</v>
      </c>
      <c r="S40" s="43">
        <f>K40*$S$4*$S$2</f>
        <v>2675.3424657534247</v>
      </c>
      <c r="T40" s="43">
        <f>K40*$T$4*$T$2</f>
        <v>2675.3424657534247</v>
      </c>
      <c r="U40" s="43">
        <f>K40*$U$4*$U$2</f>
        <v>2589.0410958904113</v>
      </c>
      <c r="V40" s="43">
        <f>K40*$V$4*$V$2</f>
        <v>2675.3424657534247</v>
      </c>
      <c r="W40" s="43">
        <f>K40*$W$4*$W$2</f>
        <v>2589.0410958904113</v>
      </c>
      <c r="X40" s="43">
        <f>K40*$X$4*$X$2</f>
        <v>2675.3424657534247</v>
      </c>
    </row>
    <row r="41" spans="1:25" s="42" customFormat="1" x14ac:dyDescent="0.3">
      <c r="A41" s="38"/>
      <c r="C41" s="128"/>
      <c r="D41" s="19"/>
      <c r="E41" s="17"/>
      <c r="G41" s="24"/>
      <c r="I41" s="24"/>
      <c r="K41" s="24"/>
      <c r="L41" s="24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1:25" x14ac:dyDescent="0.3">
      <c r="A42" s="11"/>
      <c r="B42" s="10"/>
      <c r="C42" s="128">
        <f>SUM(C25:C40)/16</f>
        <v>99.947499999999991</v>
      </c>
      <c r="D42" s="10"/>
      <c r="E42" s="10"/>
      <c r="F42" s="10"/>
      <c r="G42" s="21">
        <f>SUM(G25:G41)</f>
        <v>576288.93999999994</v>
      </c>
      <c r="H42" s="10"/>
      <c r="I42" s="10"/>
      <c r="J42" s="10"/>
      <c r="K42" s="21">
        <v>0</v>
      </c>
      <c r="L42" s="10"/>
      <c r="M42" s="25">
        <f t="shared" ref="M42:X42" si="69">SUM(M25:M41)</f>
        <v>46603.900653698627</v>
      </c>
      <c r="N42" s="43">
        <f t="shared" si="69"/>
        <v>41993.248977534247</v>
      </c>
      <c r="O42" s="43">
        <f t="shared" si="69"/>
        <v>46603.900653698627</v>
      </c>
      <c r="P42" s="43">
        <f t="shared" si="69"/>
        <v>45067.016761643834</v>
      </c>
      <c r="Q42" s="43">
        <f t="shared" si="69"/>
        <v>46603.900653698627</v>
      </c>
      <c r="R42" s="43">
        <f t="shared" si="69"/>
        <v>45067.016761643834</v>
      </c>
      <c r="S42" s="43">
        <f t="shared" si="69"/>
        <v>46603.900653698627</v>
      </c>
      <c r="T42" s="43">
        <f t="shared" si="69"/>
        <v>46603.900653698627</v>
      </c>
      <c r="U42" s="43">
        <f t="shared" si="69"/>
        <v>45067.016761643834</v>
      </c>
      <c r="V42" s="43">
        <f t="shared" si="69"/>
        <v>46603.900653698627</v>
      </c>
      <c r="W42" s="43">
        <f t="shared" si="69"/>
        <v>45067.016761643834</v>
      </c>
      <c r="X42" s="43">
        <f t="shared" si="69"/>
        <v>46603.900653698627</v>
      </c>
      <c r="Y42" s="43">
        <f>SUM(L42:X42)</f>
        <v>548488.62059999979</v>
      </c>
    </row>
    <row r="44" spans="1:25" ht="43.2" x14ac:dyDescent="0.3">
      <c r="A44" s="131"/>
      <c r="B44" s="131"/>
      <c r="C44" s="132" t="s">
        <v>289</v>
      </c>
      <c r="D44" s="133" t="s">
        <v>290</v>
      </c>
      <c r="E44" s="133" t="s">
        <v>291</v>
      </c>
      <c r="F44" s="133" t="s">
        <v>292</v>
      </c>
      <c r="G44" s="133" t="s">
        <v>293</v>
      </c>
      <c r="H44" s="133" t="s">
        <v>294</v>
      </c>
      <c r="I44" s="133" t="s">
        <v>295</v>
      </c>
      <c r="J44" s="133" t="s">
        <v>296</v>
      </c>
      <c r="K44" s="133" t="s">
        <v>101</v>
      </c>
      <c r="L44" s="133" t="s">
        <v>102</v>
      </c>
      <c r="M44" s="133" t="s">
        <v>103</v>
      </c>
      <c r="N44" s="133" t="s">
        <v>104</v>
      </c>
      <c r="O44" s="133" t="s">
        <v>105</v>
      </c>
      <c r="P44" s="133" t="s">
        <v>106</v>
      </c>
      <c r="Q44" s="133" t="s">
        <v>107</v>
      </c>
      <c r="R44" s="133" t="s">
        <v>108</v>
      </c>
      <c r="S44" s="133" t="s">
        <v>109</v>
      </c>
      <c r="T44" s="133" t="s">
        <v>110</v>
      </c>
      <c r="U44" s="133" t="s">
        <v>111</v>
      </c>
    </row>
    <row r="45" spans="1:25" x14ac:dyDescent="0.3">
      <c r="A45" s="131" t="s">
        <v>297</v>
      </c>
      <c r="B45" s="131"/>
      <c r="C45" s="134">
        <v>43739</v>
      </c>
      <c r="D45" s="135">
        <v>188.16</v>
      </c>
      <c r="E45" s="135">
        <v>182.29</v>
      </c>
      <c r="F45" s="135">
        <v>5.0400000000000205</v>
      </c>
      <c r="G45" s="135">
        <v>4.8499999999999943</v>
      </c>
      <c r="H45" s="135">
        <v>187.33</v>
      </c>
      <c r="I45" s="135">
        <v>192.18</v>
      </c>
      <c r="J45" s="136">
        <v>5807.23</v>
      </c>
      <c r="K45" s="136">
        <v>5245.2400000000007</v>
      </c>
      <c r="L45" s="136">
        <v>5807.2300000000005</v>
      </c>
      <c r="M45" s="136">
        <v>5619.9000000000005</v>
      </c>
      <c r="N45" s="136">
        <v>5807.2300000000005</v>
      </c>
      <c r="O45" s="136">
        <v>5619.9000000000005</v>
      </c>
      <c r="P45" s="136">
        <v>5807.2300000000005</v>
      </c>
      <c r="Q45" s="136">
        <v>5807.2300000000005</v>
      </c>
      <c r="R45" s="136">
        <v>5619.9000000000005</v>
      </c>
      <c r="S45" s="136">
        <v>5807.2300000000005</v>
      </c>
      <c r="T45" s="136">
        <v>5619.9000000000005</v>
      </c>
      <c r="U45" s="136">
        <v>5807.2300000000005</v>
      </c>
    </row>
    <row r="46" spans="1:25" x14ac:dyDescent="0.3">
      <c r="A46" s="131" t="s">
        <v>298</v>
      </c>
      <c r="B46" s="131"/>
      <c r="C46" s="134">
        <v>43862</v>
      </c>
      <c r="D46" s="135">
        <v>190.1</v>
      </c>
      <c r="E46" s="135">
        <v>209.32</v>
      </c>
      <c r="F46" s="135">
        <v>5.0500000000000114</v>
      </c>
      <c r="G46" s="135">
        <v>5.9399999999999977</v>
      </c>
      <c r="H46" s="135">
        <v>214.37</v>
      </c>
      <c r="I46" s="135">
        <v>220.31</v>
      </c>
      <c r="J46" s="136">
        <v>5893.0999999999995</v>
      </c>
      <c r="K46" s="136">
        <v>6002.3600000000006</v>
      </c>
      <c r="L46" s="136">
        <v>6645.47</v>
      </c>
      <c r="M46" s="136">
        <v>6431.1</v>
      </c>
      <c r="N46" s="136">
        <v>6645.47</v>
      </c>
      <c r="O46" s="136">
        <v>6431.1</v>
      </c>
      <c r="P46" s="136">
        <v>6645.47</v>
      </c>
      <c r="Q46" s="136">
        <v>6645.47</v>
      </c>
      <c r="R46" s="136">
        <v>6431.1</v>
      </c>
      <c r="S46" s="136">
        <v>6645.47</v>
      </c>
      <c r="T46" s="136">
        <v>6431.1</v>
      </c>
      <c r="U46" s="136">
        <v>6645.47</v>
      </c>
    </row>
    <row r="47" spans="1:25" x14ac:dyDescent="0.3">
      <c r="A47" s="131" t="s">
        <v>299</v>
      </c>
      <c r="B47" s="131"/>
      <c r="C47" s="134">
        <v>43709</v>
      </c>
      <c r="D47" s="135">
        <v>224.32</v>
      </c>
      <c r="E47" s="135">
        <v>182.29</v>
      </c>
      <c r="F47" s="135">
        <v>5.0400000000000205</v>
      </c>
      <c r="G47" s="135">
        <v>4.8499999999999943</v>
      </c>
      <c r="H47" s="135">
        <v>187.33</v>
      </c>
      <c r="I47" s="135">
        <v>192.18</v>
      </c>
      <c r="J47" s="136">
        <v>5957.58</v>
      </c>
      <c r="K47" s="136">
        <v>5245.2400000000007</v>
      </c>
      <c r="L47" s="136">
        <v>5807.2300000000005</v>
      </c>
      <c r="M47" s="136">
        <v>5619.9000000000005</v>
      </c>
      <c r="N47" s="136">
        <v>5807.2300000000005</v>
      </c>
      <c r="O47" s="136">
        <v>5619.9000000000005</v>
      </c>
      <c r="P47" s="136">
        <v>5807.2300000000005</v>
      </c>
      <c r="Q47" s="136">
        <v>5807.2300000000005</v>
      </c>
      <c r="R47" s="136">
        <v>5619.9000000000005</v>
      </c>
      <c r="S47" s="136">
        <v>5807.2300000000005</v>
      </c>
      <c r="T47" s="136">
        <v>5619.9000000000005</v>
      </c>
      <c r="U47" s="136">
        <v>5807.2300000000005</v>
      </c>
    </row>
    <row r="48" spans="1:25" x14ac:dyDescent="0.3">
      <c r="A48" s="131" t="s">
        <v>300</v>
      </c>
      <c r="B48" s="131"/>
      <c r="C48" s="134">
        <v>43831</v>
      </c>
      <c r="D48" s="135">
        <v>204.14</v>
      </c>
      <c r="E48" s="135">
        <v>209.32</v>
      </c>
      <c r="F48" s="135">
        <v>5.0500000000000114</v>
      </c>
      <c r="G48" s="135">
        <v>5.9399999999999977</v>
      </c>
      <c r="H48" s="135">
        <v>214.37</v>
      </c>
      <c r="I48" s="135">
        <v>220.31</v>
      </c>
      <c r="J48" s="136">
        <v>6645.47</v>
      </c>
      <c r="K48" s="136">
        <v>6002.3600000000006</v>
      </c>
      <c r="L48" s="136">
        <v>6645.47</v>
      </c>
      <c r="M48" s="136">
        <v>6431.1</v>
      </c>
      <c r="N48" s="136">
        <v>6645.47</v>
      </c>
      <c r="O48" s="136">
        <v>6431.1</v>
      </c>
      <c r="P48" s="136">
        <v>6645.47</v>
      </c>
      <c r="Q48" s="136">
        <v>6645.47</v>
      </c>
      <c r="R48" s="136">
        <v>6431.1</v>
      </c>
      <c r="S48" s="136">
        <v>6645.47</v>
      </c>
      <c r="T48" s="136">
        <v>6431.1</v>
      </c>
      <c r="U48" s="136">
        <v>6645.47</v>
      </c>
    </row>
    <row r="49" spans="1:21" x14ac:dyDescent="0.3">
      <c r="A49" s="131"/>
      <c r="B49" s="131"/>
      <c r="C49" s="134"/>
      <c r="D49" s="135"/>
      <c r="E49" s="135"/>
      <c r="F49" s="135"/>
      <c r="G49" s="135"/>
      <c r="H49" s="135"/>
      <c r="I49" s="135"/>
      <c r="J49" s="136">
        <v>23088.210999999999</v>
      </c>
      <c r="K49" s="136">
        <v>21370.440000000002</v>
      </c>
      <c r="L49" s="136">
        <v>23660.13</v>
      </c>
      <c r="M49" s="136">
        <v>22896.899999999998</v>
      </c>
      <c r="N49" s="136">
        <v>23660.13</v>
      </c>
      <c r="O49" s="136">
        <v>22896.899999999998</v>
      </c>
      <c r="P49" s="136">
        <v>23660.13</v>
      </c>
      <c r="Q49" s="136">
        <v>23660.13</v>
      </c>
      <c r="R49" s="136">
        <v>22896.899999999998</v>
      </c>
      <c r="S49" s="136">
        <v>23660.13</v>
      </c>
      <c r="T49" s="136">
        <v>22896.899999999998</v>
      </c>
      <c r="U49" s="136">
        <v>23660.13</v>
      </c>
    </row>
    <row r="50" spans="1:21" x14ac:dyDescent="0.3">
      <c r="A50" s="131" t="s">
        <v>301</v>
      </c>
      <c r="B50" s="131"/>
      <c r="C50" s="134">
        <v>43922</v>
      </c>
      <c r="D50" s="135">
        <v>193.12</v>
      </c>
      <c r="E50" s="135">
        <v>182.29</v>
      </c>
      <c r="F50" s="135">
        <v>5.0400000000000205</v>
      </c>
      <c r="G50" s="135">
        <v>4.8499999999999943</v>
      </c>
      <c r="H50" s="135">
        <v>187.33</v>
      </c>
      <c r="I50" s="135">
        <v>192.18</v>
      </c>
      <c r="J50" s="136">
        <v>5986.72</v>
      </c>
      <c r="K50" s="136">
        <v>5407.3600000000006</v>
      </c>
      <c r="L50" s="136">
        <v>5986.72</v>
      </c>
      <c r="M50" s="136">
        <v>5619.9000000000005</v>
      </c>
      <c r="N50" s="136">
        <v>5986.72</v>
      </c>
      <c r="O50" s="136">
        <v>5986.72</v>
      </c>
      <c r="P50" s="136">
        <v>5986.72</v>
      </c>
      <c r="Q50" s="136">
        <v>5986.72</v>
      </c>
      <c r="R50" s="136">
        <v>5986.72</v>
      </c>
      <c r="S50" s="136">
        <v>5986.72</v>
      </c>
      <c r="T50" s="136">
        <v>5986.72</v>
      </c>
      <c r="U50" s="136">
        <v>5986.72</v>
      </c>
    </row>
    <row r="51" spans="1:21" x14ac:dyDescent="0.3">
      <c r="A51" s="131" t="s">
        <v>302</v>
      </c>
      <c r="B51" s="131"/>
      <c r="C51" s="134">
        <v>43770</v>
      </c>
      <c r="D51" s="135">
        <v>211.49</v>
      </c>
      <c r="E51" s="135">
        <v>209.32</v>
      </c>
      <c r="F51" s="135">
        <v>5.05</v>
      </c>
      <c r="G51" s="135">
        <v>5.9399999999999977</v>
      </c>
      <c r="H51" s="135">
        <v>214.37</v>
      </c>
      <c r="I51" s="135">
        <v>220.31</v>
      </c>
      <c r="J51" s="136">
        <v>6645.47</v>
      </c>
      <c r="K51" s="136">
        <v>6002.3600000000006</v>
      </c>
      <c r="L51" s="136">
        <v>6645.47</v>
      </c>
      <c r="M51" s="136">
        <v>6431.1</v>
      </c>
      <c r="N51" s="136">
        <v>6645.47</v>
      </c>
      <c r="O51" s="136">
        <v>6431.1</v>
      </c>
      <c r="P51" s="136">
        <v>6645.47</v>
      </c>
      <c r="Q51" s="136">
        <v>6645.47</v>
      </c>
      <c r="R51" s="136">
        <v>6431.1</v>
      </c>
      <c r="S51" s="136">
        <v>6645.47</v>
      </c>
      <c r="T51" s="136">
        <v>6431.1</v>
      </c>
      <c r="U51" s="136">
        <v>6645.47</v>
      </c>
    </row>
    <row r="52" spans="1:21" x14ac:dyDescent="0.3">
      <c r="A52" s="131" t="s">
        <v>303</v>
      </c>
      <c r="B52" s="131"/>
      <c r="C52" s="134">
        <v>43831</v>
      </c>
      <c r="D52" s="135">
        <v>412.21</v>
      </c>
      <c r="E52" s="135">
        <v>182.29</v>
      </c>
      <c r="F52" s="135">
        <v>5.0400000000000205</v>
      </c>
      <c r="G52" s="135">
        <v>4.8499999999999943</v>
      </c>
      <c r="H52" s="135">
        <v>187.33</v>
      </c>
      <c r="I52" s="135">
        <v>192.18</v>
      </c>
      <c r="J52" s="136">
        <v>5807.2300000000005</v>
      </c>
      <c r="K52" s="136">
        <v>5245.2400000000007</v>
      </c>
      <c r="L52" s="136">
        <v>5807.2300000000005</v>
      </c>
      <c r="M52" s="136">
        <v>5619.9000000000005</v>
      </c>
      <c r="N52" s="136">
        <v>5807.2300000000005</v>
      </c>
      <c r="O52" s="136">
        <v>5619.9000000000005</v>
      </c>
      <c r="P52" s="136">
        <v>5807.2300000000005</v>
      </c>
      <c r="Q52" s="136">
        <v>5807.2300000000005</v>
      </c>
      <c r="R52" s="136">
        <v>5619.9000000000005</v>
      </c>
      <c r="S52" s="136">
        <v>5807.2300000000005</v>
      </c>
      <c r="T52" s="136">
        <v>5619.9000000000005</v>
      </c>
      <c r="U52" s="136">
        <v>5807.2300000000005</v>
      </c>
    </row>
    <row r="53" spans="1:21" x14ac:dyDescent="0.3">
      <c r="A53" s="131" t="s">
        <v>304</v>
      </c>
      <c r="B53" s="131"/>
      <c r="C53" s="134">
        <v>43831</v>
      </c>
      <c r="D53" s="135">
        <v>220.6</v>
      </c>
      <c r="E53" s="135">
        <v>209.32</v>
      </c>
      <c r="F53" s="135">
        <v>5.0500000000000114</v>
      </c>
      <c r="G53" s="135">
        <v>5.9399999999999977</v>
      </c>
      <c r="H53" s="135">
        <v>214.37</v>
      </c>
      <c r="I53" s="135">
        <v>220.31</v>
      </c>
      <c r="J53" s="136">
        <v>6645.47</v>
      </c>
      <c r="K53" s="136">
        <v>6002.3600000000006</v>
      </c>
      <c r="L53" s="136">
        <v>6645.47</v>
      </c>
      <c r="M53" s="136">
        <v>6431.1</v>
      </c>
      <c r="N53" s="136">
        <v>6645.47</v>
      </c>
      <c r="O53" s="136">
        <v>6431.1</v>
      </c>
      <c r="P53" s="136">
        <v>6645.47</v>
      </c>
      <c r="Q53" s="136">
        <v>6645.47</v>
      </c>
      <c r="R53" s="136">
        <v>6431.1</v>
      </c>
      <c r="S53" s="136">
        <v>6645.47</v>
      </c>
      <c r="T53" s="136">
        <v>6431.1</v>
      </c>
      <c r="U53" s="136">
        <v>6645.47</v>
      </c>
    </row>
    <row r="54" spans="1:21" x14ac:dyDescent="0.3">
      <c r="A54" s="131"/>
      <c r="B54" s="131"/>
      <c r="C54" s="134"/>
      <c r="D54" s="135"/>
      <c r="E54" s="135"/>
      <c r="F54" s="135"/>
      <c r="G54" s="135"/>
      <c r="H54" s="135"/>
      <c r="I54" s="135"/>
      <c r="J54" s="136">
        <v>23830.645500000002</v>
      </c>
      <c r="K54" s="136">
        <v>21524.454000000002</v>
      </c>
      <c r="L54" s="136">
        <v>23830.645500000002</v>
      </c>
      <c r="M54" s="136">
        <v>22896.899999999998</v>
      </c>
      <c r="N54" s="136">
        <v>23830.645500000002</v>
      </c>
      <c r="O54" s="136">
        <v>23245.378999999997</v>
      </c>
      <c r="P54" s="136">
        <v>23830.645500000002</v>
      </c>
      <c r="Q54" s="136">
        <v>23830.645500000002</v>
      </c>
      <c r="R54" s="136">
        <v>23245.378999999997</v>
      </c>
      <c r="S54" s="136">
        <v>23830.645500000002</v>
      </c>
      <c r="T54" s="136">
        <v>23245.378999999997</v>
      </c>
      <c r="U54" s="136">
        <v>23830.645500000002</v>
      </c>
    </row>
    <row r="55" spans="1:21" x14ac:dyDescent="0.3">
      <c r="A55" s="131" t="s">
        <v>305</v>
      </c>
      <c r="B55" s="131"/>
      <c r="C55" s="134">
        <v>43922</v>
      </c>
      <c r="D55" s="135">
        <v>192.42</v>
      </c>
      <c r="E55" s="135">
        <v>209.32</v>
      </c>
      <c r="F55" s="135">
        <v>5.0500000000000114</v>
      </c>
      <c r="G55" s="135">
        <v>5.9399999999999977</v>
      </c>
      <c r="H55" s="135">
        <v>214.37</v>
      </c>
      <c r="I55" s="135">
        <v>220.31</v>
      </c>
      <c r="J55" s="136">
        <v>5965.0199999999995</v>
      </c>
      <c r="K55" s="136">
        <v>5387.7599999999993</v>
      </c>
      <c r="L55" s="136">
        <v>5965.0199999999995</v>
      </c>
      <c r="M55" s="136">
        <v>6431.1</v>
      </c>
      <c r="N55" s="136">
        <v>6645.47</v>
      </c>
      <c r="O55" s="136">
        <v>6431.1</v>
      </c>
      <c r="P55" s="136">
        <v>6645.47</v>
      </c>
      <c r="Q55" s="136">
        <v>6645.47</v>
      </c>
      <c r="R55" s="136">
        <v>6431.1</v>
      </c>
      <c r="S55" s="136">
        <v>6645.47</v>
      </c>
      <c r="T55" s="136">
        <v>6431.1</v>
      </c>
      <c r="U55" s="136">
        <v>6645.47</v>
      </c>
    </row>
    <row r="56" spans="1:21" x14ac:dyDescent="0.3">
      <c r="A56" s="131" t="s">
        <v>306</v>
      </c>
      <c r="B56" s="131"/>
      <c r="C56" s="134">
        <v>43800</v>
      </c>
      <c r="D56" s="135">
        <v>170.78</v>
      </c>
      <c r="E56" s="135">
        <v>182.29</v>
      </c>
      <c r="F56" s="135">
        <v>5.0400000000000205</v>
      </c>
      <c r="G56" s="135">
        <v>4.8499999999999943</v>
      </c>
      <c r="H56" s="135">
        <v>187.33</v>
      </c>
      <c r="I56" s="135">
        <v>192.18</v>
      </c>
      <c r="J56" s="136">
        <v>6645.47</v>
      </c>
      <c r="K56" s="136">
        <v>6002.3600000000006</v>
      </c>
      <c r="L56" s="136">
        <v>6645.47</v>
      </c>
      <c r="M56" s="136">
        <v>6431.1</v>
      </c>
      <c r="N56" s="136">
        <v>6645.47</v>
      </c>
      <c r="O56" s="136">
        <v>6431.1</v>
      </c>
      <c r="P56" s="136">
        <v>6645.47</v>
      </c>
      <c r="Q56" s="136">
        <v>6645.47</v>
      </c>
      <c r="R56" s="136">
        <v>6431.1</v>
      </c>
      <c r="S56" s="136">
        <v>6645.47</v>
      </c>
      <c r="T56" s="136">
        <v>6431.1</v>
      </c>
      <c r="U56" s="136">
        <v>6645.47</v>
      </c>
    </row>
    <row r="57" spans="1:21" x14ac:dyDescent="0.3">
      <c r="A57" s="131" t="s">
        <v>307</v>
      </c>
      <c r="B57" s="131"/>
      <c r="C57" s="134">
        <v>43770</v>
      </c>
      <c r="D57" s="135">
        <v>191.56</v>
      </c>
      <c r="E57" s="135">
        <v>191.41</v>
      </c>
      <c r="F57" s="135">
        <v>5.039999999999992</v>
      </c>
      <c r="G57" s="135">
        <v>5.4000000000000057</v>
      </c>
      <c r="H57" s="135">
        <v>196.45</v>
      </c>
      <c r="I57" s="135">
        <v>201.85</v>
      </c>
      <c r="J57" s="136">
        <v>6089.95</v>
      </c>
      <c r="K57" s="136">
        <v>5500.5999999999995</v>
      </c>
      <c r="L57" s="136">
        <v>6089.95</v>
      </c>
      <c r="M57" s="136">
        <v>5893.5</v>
      </c>
      <c r="N57" s="136">
        <v>6089.95</v>
      </c>
      <c r="O57" s="136">
        <v>5893.5</v>
      </c>
      <c r="P57" s="136">
        <v>6089.95</v>
      </c>
      <c r="Q57" s="136">
        <v>6089.95</v>
      </c>
      <c r="R57" s="136">
        <v>5893.5</v>
      </c>
      <c r="S57" s="136">
        <v>6089.95</v>
      </c>
      <c r="T57" s="136">
        <v>5893.5</v>
      </c>
      <c r="U57" s="136">
        <v>6089.95</v>
      </c>
    </row>
    <row r="58" spans="1:21" x14ac:dyDescent="0.3">
      <c r="A58" s="131" t="s">
        <v>308</v>
      </c>
      <c r="B58" s="131"/>
      <c r="C58" s="134">
        <v>43770</v>
      </c>
      <c r="D58" s="135">
        <v>220.5</v>
      </c>
      <c r="E58" s="135">
        <v>225.5</v>
      </c>
      <c r="F58" s="135">
        <v>5.05</v>
      </c>
      <c r="G58" s="135">
        <v>5.9399999999999977</v>
      </c>
      <c r="H58" s="135">
        <v>230.55</v>
      </c>
      <c r="I58" s="135">
        <v>236.49</v>
      </c>
      <c r="J58" s="136">
        <v>7147.05</v>
      </c>
      <c r="K58" s="136">
        <v>6455.4000000000005</v>
      </c>
      <c r="L58" s="136">
        <v>7147.05</v>
      </c>
      <c r="M58" s="136">
        <v>6916.5</v>
      </c>
      <c r="N58" s="136">
        <v>7147.05</v>
      </c>
      <c r="O58" s="136">
        <v>6916.5</v>
      </c>
      <c r="P58" s="136">
        <v>7147.05</v>
      </c>
      <c r="Q58" s="136">
        <v>7147.05</v>
      </c>
      <c r="R58" s="136">
        <v>6916.5</v>
      </c>
      <c r="S58" s="136">
        <v>7147.05</v>
      </c>
      <c r="T58" s="136">
        <v>6916.5</v>
      </c>
      <c r="U58" s="136">
        <v>7147.05</v>
      </c>
    </row>
    <row r="59" spans="1:21" x14ac:dyDescent="0.3">
      <c r="A59" s="131"/>
      <c r="B59" s="131"/>
      <c r="C59" s="134"/>
      <c r="D59" s="135"/>
      <c r="E59" s="135"/>
      <c r="F59" s="135"/>
      <c r="G59" s="135"/>
      <c r="H59" s="135"/>
      <c r="I59" s="135"/>
      <c r="J59" s="136">
        <v>24555.115499999996</v>
      </c>
      <c r="K59" s="136">
        <v>22178.813999999998</v>
      </c>
      <c r="L59" s="136">
        <v>24555.115499999996</v>
      </c>
      <c r="M59" s="136">
        <v>24388.59</v>
      </c>
      <c r="N59" s="136">
        <v>25201.542999999998</v>
      </c>
      <c r="O59" s="136">
        <v>24388.59</v>
      </c>
      <c r="P59" s="136">
        <v>25201.542999999998</v>
      </c>
      <c r="Q59" s="136">
        <v>25201.542999999998</v>
      </c>
      <c r="R59" s="136">
        <v>24388.59</v>
      </c>
      <c r="S59" s="136">
        <v>25201.542999999998</v>
      </c>
      <c r="T59" s="136">
        <v>24388.59</v>
      </c>
      <c r="U59" s="136">
        <v>25201.542999999998</v>
      </c>
    </row>
    <row r="60" spans="1:21" ht="15" thickBot="1" x14ac:dyDescent="0.35">
      <c r="A60" s="131"/>
      <c r="B60" s="131"/>
      <c r="C60" s="131"/>
      <c r="D60" s="137">
        <v>2619.4</v>
      </c>
      <c r="E60" s="137">
        <v>2374.9599999999996</v>
      </c>
      <c r="F60" s="137">
        <v>60.540000000000134</v>
      </c>
      <c r="G60" s="137">
        <v>65.289999999999964</v>
      </c>
      <c r="H60" s="137">
        <v>2435.5</v>
      </c>
      <c r="I60" s="137">
        <v>2500.79</v>
      </c>
      <c r="J60" s="138">
        <v>71473.971999999994</v>
      </c>
      <c r="K60" s="138">
        <v>65073.707999999999</v>
      </c>
      <c r="L60" s="138">
        <v>72045.891000000003</v>
      </c>
      <c r="M60" s="138">
        <v>70182.39</v>
      </c>
      <c r="N60" s="138">
        <v>72692.318499999994</v>
      </c>
      <c r="O60" s="138">
        <v>70530.868999999992</v>
      </c>
      <c r="P60" s="138">
        <v>72692.318499999994</v>
      </c>
      <c r="Q60" s="138">
        <v>72692.318499999994</v>
      </c>
      <c r="R60" s="138">
        <v>70530.868999999992</v>
      </c>
      <c r="S60" s="138">
        <v>72692.318499999994</v>
      </c>
      <c r="T60" s="138">
        <v>70530.868999999992</v>
      </c>
      <c r="U60" s="138">
        <v>72692.318499999994</v>
      </c>
    </row>
    <row r="61" spans="1:21" ht="15" thickTop="1" x14ac:dyDescent="0.3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</row>
    <row r="62" spans="1:21" x14ac:dyDescent="0.3">
      <c r="A62" s="139"/>
      <c r="B62" s="139"/>
      <c r="C62" s="139"/>
      <c r="D62" s="139"/>
      <c r="E62" s="139"/>
      <c r="F62" s="139"/>
      <c r="G62" s="139"/>
      <c r="H62" s="139"/>
      <c r="I62" s="139"/>
      <c r="J62" s="139">
        <v>31</v>
      </c>
      <c r="K62" s="139">
        <v>28</v>
      </c>
      <c r="L62" s="139">
        <v>31</v>
      </c>
      <c r="M62" s="139">
        <v>30</v>
      </c>
      <c r="N62" s="139">
        <v>31</v>
      </c>
      <c r="O62" s="139">
        <v>30</v>
      </c>
      <c r="P62" s="139">
        <v>31</v>
      </c>
      <c r="Q62" s="139">
        <v>31</v>
      </c>
      <c r="R62" s="139">
        <v>30</v>
      </c>
      <c r="S62" s="139">
        <v>31</v>
      </c>
      <c r="T62" s="139">
        <v>30</v>
      </c>
      <c r="U62" s="139">
        <v>31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4"/>
  <sheetViews>
    <sheetView workbookViewId="0">
      <selection activeCell="I44" sqref="I44"/>
    </sheetView>
  </sheetViews>
  <sheetFormatPr defaultRowHeight="14.4" x14ac:dyDescent="0.3"/>
  <cols>
    <col min="8" max="8" width="8.88671875" style="43"/>
  </cols>
  <sheetData>
    <row r="4" spans="1:9" x14ac:dyDescent="0.3">
      <c r="A4" s="14" t="s">
        <v>123</v>
      </c>
      <c r="B4" s="42"/>
      <c r="C4" s="128">
        <v>150.72999999999999</v>
      </c>
      <c r="D4" s="19">
        <v>351</v>
      </c>
      <c r="E4" s="42">
        <v>91.01</v>
      </c>
      <c r="F4" s="24">
        <f>C4-E4</f>
        <v>59.719999999999985</v>
      </c>
      <c r="G4" s="42"/>
      <c r="H4" s="43">
        <f>F4*D4*0.95</f>
        <v>19913.633999999995</v>
      </c>
      <c r="I4" s="43">
        <f>H4</f>
        <v>19913.633999999995</v>
      </c>
    </row>
    <row r="5" spans="1:9" x14ac:dyDescent="0.3">
      <c r="A5" s="42" t="s">
        <v>228</v>
      </c>
      <c r="B5" s="42"/>
      <c r="C5" s="128">
        <v>94.29</v>
      </c>
      <c r="D5" s="19">
        <v>365</v>
      </c>
      <c r="E5" s="42">
        <v>79.02</v>
      </c>
      <c r="F5" s="24">
        <f t="shared" ref="F5:F21" si="0">C5-E5</f>
        <v>15.27000000000001</v>
      </c>
      <c r="G5" s="42"/>
      <c r="H5" s="43">
        <f t="shared" ref="H5:H21" si="1">F5*D5*0.95</f>
        <v>5294.8725000000031</v>
      </c>
      <c r="I5" s="42"/>
    </row>
    <row r="6" spans="1:9" x14ac:dyDescent="0.3">
      <c r="A6" s="42" t="s">
        <v>265</v>
      </c>
      <c r="B6" s="42"/>
      <c r="C6" s="128">
        <v>125.03</v>
      </c>
      <c r="D6" s="19">
        <v>213</v>
      </c>
      <c r="F6" s="24">
        <f t="shared" si="0"/>
        <v>125.03</v>
      </c>
      <c r="G6" s="42"/>
      <c r="H6" s="43">
        <f t="shared" si="1"/>
        <v>25299.820499999998</v>
      </c>
      <c r="I6" s="43">
        <f>H6</f>
        <v>25299.820499999998</v>
      </c>
    </row>
    <row r="7" spans="1:9" x14ac:dyDescent="0.3">
      <c r="A7" s="114" t="s">
        <v>125</v>
      </c>
      <c r="B7" s="58" t="s">
        <v>99</v>
      </c>
      <c r="C7" s="129">
        <f>((66.31*7)+(95.26*5))/12</f>
        <v>78.372500000000002</v>
      </c>
      <c r="D7" s="19">
        <v>366</v>
      </c>
      <c r="E7" s="42">
        <v>66.31</v>
      </c>
      <c r="F7" s="24">
        <f t="shared" si="0"/>
        <v>12.0625</v>
      </c>
      <c r="G7" s="42"/>
      <c r="H7" s="43">
        <f t="shared" si="1"/>
        <v>4194.1312499999995</v>
      </c>
      <c r="I7" s="42"/>
    </row>
    <row r="8" spans="1:9" x14ac:dyDescent="0.3">
      <c r="A8" s="11" t="s">
        <v>126</v>
      </c>
      <c r="B8" s="42"/>
      <c r="C8" s="128">
        <v>111.87</v>
      </c>
      <c r="D8" s="19">
        <v>365</v>
      </c>
      <c r="E8" s="42">
        <v>81.44</v>
      </c>
      <c r="F8" s="24">
        <f t="shared" si="0"/>
        <v>30.430000000000007</v>
      </c>
      <c r="G8" s="42"/>
      <c r="H8" s="43">
        <f t="shared" si="1"/>
        <v>10551.602500000003</v>
      </c>
      <c r="I8" s="43">
        <f t="shared" ref="I8:I14" si="2">H8</f>
        <v>10551.602500000003</v>
      </c>
    </row>
    <row r="9" spans="1:9" x14ac:dyDescent="0.3">
      <c r="A9" s="11" t="s">
        <v>127</v>
      </c>
      <c r="B9" s="42"/>
      <c r="C9" s="128">
        <v>133.91</v>
      </c>
      <c r="D9" s="19">
        <v>366</v>
      </c>
      <c r="E9">
        <v>94.33</v>
      </c>
      <c r="F9" s="24">
        <f t="shared" si="0"/>
        <v>39.58</v>
      </c>
      <c r="G9" s="42"/>
      <c r="H9" s="43">
        <f t="shared" si="1"/>
        <v>13761.965999999999</v>
      </c>
      <c r="I9" s="43">
        <f t="shared" si="2"/>
        <v>13761.965999999999</v>
      </c>
    </row>
    <row r="10" spans="1:9" x14ac:dyDescent="0.3">
      <c r="A10" s="11" t="s">
        <v>234</v>
      </c>
      <c r="B10" s="42"/>
      <c r="C10" s="128">
        <v>99.33</v>
      </c>
      <c r="D10" s="19">
        <v>351</v>
      </c>
      <c r="E10">
        <v>74.37</v>
      </c>
      <c r="F10" s="24">
        <f t="shared" si="0"/>
        <v>24.959999999999994</v>
      </c>
      <c r="G10" s="42"/>
      <c r="H10" s="43">
        <f t="shared" si="1"/>
        <v>8322.9119999999966</v>
      </c>
      <c r="I10" s="43">
        <f t="shared" si="2"/>
        <v>8322.9119999999966</v>
      </c>
    </row>
    <row r="11" spans="1:9" x14ac:dyDescent="0.3">
      <c r="A11" s="13" t="s">
        <v>128</v>
      </c>
      <c r="B11" s="42"/>
      <c r="C11" s="128">
        <v>83.73</v>
      </c>
      <c r="D11" s="19">
        <v>365</v>
      </c>
      <c r="E11">
        <v>75</v>
      </c>
      <c r="F11" s="24">
        <f t="shared" si="0"/>
        <v>8.730000000000004</v>
      </c>
      <c r="G11" s="42"/>
      <c r="H11" s="43">
        <f t="shared" si="1"/>
        <v>3027.1275000000014</v>
      </c>
      <c r="I11" s="43">
        <f t="shared" si="2"/>
        <v>3027.1275000000014</v>
      </c>
    </row>
    <row r="12" spans="1:9" x14ac:dyDescent="0.3">
      <c r="A12" s="11" t="s">
        <v>129</v>
      </c>
      <c r="B12" s="42" t="s">
        <v>99</v>
      </c>
      <c r="C12" s="128">
        <v>100.38</v>
      </c>
      <c r="D12" s="19">
        <v>365</v>
      </c>
      <c r="E12">
        <v>67.239999999999995</v>
      </c>
      <c r="F12" s="24">
        <f t="shared" si="0"/>
        <v>33.14</v>
      </c>
      <c r="G12" s="42"/>
      <c r="H12" s="43">
        <f t="shared" si="1"/>
        <v>11491.295</v>
      </c>
      <c r="I12" s="43">
        <f t="shared" si="2"/>
        <v>11491.295</v>
      </c>
    </row>
    <row r="13" spans="1:9" x14ac:dyDescent="0.3">
      <c r="A13" s="113" t="s">
        <v>135</v>
      </c>
      <c r="B13" s="58"/>
      <c r="C13" s="129">
        <v>111.49</v>
      </c>
      <c r="D13" s="19">
        <v>351</v>
      </c>
      <c r="E13">
        <v>76.56</v>
      </c>
      <c r="F13" s="24">
        <f t="shared" si="0"/>
        <v>34.929999999999993</v>
      </c>
      <c r="G13" s="42"/>
      <c r="H13" s="43">
        <f t="shared" si="1"/>
        <v>11647.408499999996</v>
      </c>
      <c r="I13" s="43">
        <f t="shared" si="2"/>
        <v>11647.408499999996</v>
      </c>
    </row>
    <row r="14" spans="1:9" x14ac:dyDescent="0.3">
      <c r="A14" s="113" t="s">
        <v>238</v>
      </c>
      <c r="B14" s="42"/>
      <c r="C14" s="128">
        <v>89.28</v>
      </c>
      <c r="D14" s="19">
        <v>365</v>
      </c>
      <c r="E14">
        <v>68.7</v>
      </c>
      <c r="F14" s="24">
        <f t="shared" si="0"/>
        <v>20.58</v>
      </c>
      <c r="G14" s="42"/>
      <c r="H14" s="43">
        <f t="shared" si="1"/>
        <v>7136.1149999999998</v>
      </c>
      <c r="I14" s="43">
        <f t="shared" si="2"/>
        <v>7136.1149999999998</v>
      </c>
    </row>
    <row r="15" spans="1:9" x14ac:dyDescent="0.3">
      <c r="A15" s="11" t="s">
        <v>239</v>
      </c>
      <c r="B15" s="42" t="s">
        <v>99</v>
      </c>
      <c r="C15" s="128">
        <f>((76.79*2)+97.42*10)/12</f>
        <v>93.981666666666669</v>
      </c>
      <c r="D15" s="19">
        <v>366</v>
      </c>
      <c r="E15">
        <v>98.79</v>
      </c>
      <c r="F15" s="24">
        <f t="shared" si="0"/>
        <v>-4.8083333333333371</v>
      </c>
      <c r="G15" s="42"/>
      <c r="H15" s="43">
        <f t="shared" si="1"/>
        <v>-1671.8575000000012</v>
      </c>
      <c r="I15" s="42"/>
    </row>
    <row r="16" spans="1:9" x14ac:dyDescent="0.3">
      <c r="A16" s="114" t="s">
        <v>240</v>
      </c>
      <c r="B16" s="42"/>
      <c r="C16" s="128">
        <v>5.88</v>
      </c>
      <c r="D16" s="19">
        <v>366</v>
      </c>
      <c r="E16">
        <v>5.54</v>
      </c>
      <c r="F16" s="24">
        <f t="shared" si="0"/>
        <v>0.33999999999999986</v>
      </c>
      <c r="G16" s="42"/>
      <c r="H16" s="43">
        <f t="shared" si="1"/>
        <v>118.21799999999993</v>
      </c>
      <c r="I16" s="42"/>
    </row>
    <row r="17" spans="1:9" x14ac:dyDescent="0.3">
      <c r="A17" s="114" t="s">
        <v>242</v>
      </c>
      <c r="B17" s="42"/>
      <c r="C17" s="128">
        <v>107.94</v>
      </c>
      <c r="D17" s="19">
        <v>366</v>
      </c>
      <c r="E17">
        <v>91.8</v>
      </c>
      <c r="F17" s="24">
        <f t="shared" si="0"/>
        <v>16.14</v>
      </c>
      <c r="G17" s="42"/>
      <c r="H17" s="43">
        <f t="shared" si="1"/>
        <v>5611.8779999999997</v>
      </c>
      <c r="I17" s="43">
        <f t="shared" ref="I17:I18" si="3">H17</f>
        <v>5611.8779999999997</v>
      </c>
    </row>
    <row r="18" spans="1:9" x14ac:dyDescent="0.3">
      <c r="A18" s="114" t="s">
        <v>130</v>
      </c>
      <c r="B18" s="58"/>
      <c r="C18" s="129">
        <v>90</v>
      </c>
      <c r="D18" s="19">
        <v>350</v>
      </c>
      <c r="E18">
        <v>50.64</v>
      </c>
      <c r="F18" s="24">
        <f t="shared" si="0"/>
        <v>39.36</v>
      </c>
      <c r="G18" s="42"/>
      <c r="H18" s="43">
        <f t="shared" si="1"/>
        <v>13087.199999999999</v>
      </c>
      <c r="I18" s="43">
        <f t="shared" si="3"/>
        <v>13087.199999999999</v>
      </c>
    </row>
    <row r="19" spans="1:9" s="42" customFormat="1" x14ac:dyDescent="0.3">
      <c r="A19" s="114" t="s">
        <v>333</v>
      </c>
      <c r="B19" s="58"/>
      <c r="C19" s="129">
        <v>0</v>
      </c>
      <c r="D19" s="19">
        <v>360</v>
      </c>
      <c r="E19" s="42">
        <v>122.03</v>
      </c>
      <c r="F19" s="24">
        <f t="shared" si="0"/>
        <v>-122.03</v>
      </c>
      <c r="H19" s="43">
        <f t="shared" si="1"/>
        <v>-41734.26</v>
      </c>
    </row>
    <row r="20" spans="1:9" x14ac:dyDescent="0.3">
      <c r="A20" s="11" t="s">
        <v>244</v>
      </c>
      <c r="B20" s="42"/>
      <c r="C20" s="128">
        <v>99.7</v>
      </c>
      <c r="D20" s="19">
        <v>366</v>
      </c>
      <c r="E20">
        <v>62.84</v>
      </c>
      <c r="F20" s="24">
        <f t="shared" si="0"/>
        <v>36.86</v>
      </c>
      <c r="G20" s="42"/>
      <c r="H20" s="43">
        <f t="shared" si="1"/>
        <v>12816.222</v>
      </c>
      <c r="I20" s="43">
        <f>H20</f>
        <v>12816.222</v>
      </c>
    </row>
    <row r="21" spans="1:9" x14ac:dyDescent="0.3">
      <c r="A21" s="11" t="s">
        <v>331</v>
      </c>
      <c r="B21" s="42"/>
      <c r="C21" s="128">
        <v>90</v>
      </c>
      <c r="D21" s="19">
        <v>180</v>
      </c>
      <c r="E21">
        <v>90</v>
      </c>
      <c r="F21" s="24">
        <f t="shared" si="0"/>
        <v>0</v>
      </c>
      <c r="G21" s="42"/>
      <c r="H21" s="43">
        <f t="shared" si="1"/>
        <v>0</v>
      </c>
      <c r="I21" s="42"/>
    </row>
    <row r="22" spans="1:9" x14ac:dyDescent="0.3">
      <c r="A22" s="11"/>
      <c r="B22" s="42"/>
      <c r="C22" s="128"/>
      <c r="D22" s="19"/>
      <c r="F22" s="42"/>
      <c r="G22" s="42"/>
      <c r="H22" s="43">
        <f>SUM(H4:H21)</f>
        <v>108868.28524999997</v>
      </c>
      <c r="I22" s="43">
        <f>SUM(I4:I21)</f>
        <v>142667.18099999998</v>
      </c>
    </row>
    <row r="23" spans="1:9" x14ac:dyDescent="0.3">
      <c r="A23" s="11"/>
      <c r="B23" s="42"/>
      <c r="C23" s="128">
        <f>SUM(C4:C22)</f>
        <v>1665.9141666666667</v>
      </c>
      <c r="D23" s="42"/>
      <c r="E23" s="128">
        <f>SUM(E4:E22)</f>
        <v>1295.6199999999999</v>
      </c>
      <c r="F23" s="24">
        <f>C23-E23</f>
        <v>370.2941666666668</v>
      </c>
      <c r="G23" s="42"/>
      <c r="I23" s="42"/>
    </row>
    <row r="24" spans="1:9" x14ac:dyDescent="0.3">
      <c r="A24" s="12" t="s">
        <v>131</v>
      </c>
      <c r="B24" s="42"/>
      <c r="C24" s="126"/>
      <c r="D24" s="42"/>
      <c r="F24" s="42"/>
      <c r="G24" s="42"/>
      <c r="I24" s="42"/>
    </row>
    <row r="25" spans="1:9" x14ac:dyDescent="0.3">
      <c r="A25" s="13" t="s">
        <v>132</v>
      </c>
      <c r="B25" s="42"/>
      <c r="C25" s="128">
        <v>112.22</v>
      </c>
      <c r="D25" s="19">
        <v>351</v>
      </c>
      <c r="E25" s="42">
        <v>81.63</v>
      </c>
      <c r="F25" s="24">
        <f t="shared" ref="F25:F42" si="4">C25-E25</f>
        <v>30.590000000000003</v>
      </c>
      <c r="G25" s="42"/>
      <c r="H25" s="43">
        <f t="shared" ref="H25:H42" si="5">F25*D25*0.95</f>
        <v>10200.235500000001</v>
      </c>
      <c r="I25" s="43">
        <f>H25</f>
        <v>10200.235500000001</v>
      </c>
    </row>
    <row r="26" spans="1:9" x14ac:dyDescent="0.3">
      <c r="A26" s="130" t="s">
        <v>133</v>
      </c>
      <c r="B26" s="58"/>
      <c r="C26" s="129">
        <f>(78.5+109)/2</f>
        <v>93.75</v>
      </c>
      <c r="D26" s="19">
        <v>366</v>
      </c>
      <c r="E26" s="42">
        <v>70.5</v>
      </c>
      <c r="F26" s="24">
        <f t="shared" si="4"/>
        <v>23.25</v>
      </c>
      <c r="G26" s="42"/>
      <c r="H26" s="43">
        <f t="shared" si="5"/>
        <v>8084.0249999999996</v>
      </c>
      <c r="I26" s="42"/>
    </row>
    <row r="27" spans="1:9" s="42" customFormat="1" x14ac:dyDescent="0.3">
      <c r="A27" s="113" t="s">
        <v>334</v>
      </c>
      <c r="B27" s="58"/>
      <c r="C27" s="129"/>
      <c r="D27" s="19">
        <v>360</v>
      </c>
      <c r="E27" s="42">
        <v>93.78</v>
      </c>
      <c r="F27" s="24">
        <f t="shared" si="4"/>
        <v>-93.78</v>
      </c>
      <c r="H27" s="43">
        <f t="shared" si="5"/>
        <v>-32072.760000000002</v>
      </c>
    </row>
    <row r="28" spans="1:9" x14ac:dyDescent="0.3">
      <c r="A28" s="113" t="s">
        <v>245</v>
      </c>
      <c r="B28" s="58"/>
      <c r="C28" s="129">
        <f>(106.33/3)+(211/3*2)</f>
        <v>176.10999999999999</v>
      </c>
      <c r="D28" s="148">
        <v>366</v>
      </c>
      <c r="E28">
        <v>69</v>
      </c>
      <c r="F28" s="24">
        <f t="shared" si="4"/>
        <v>107.10999999999999</v>
      </c>
      <c r="G28" s="42"/>
      <c r="H28" s="43">
        <f t="shared" si="5"/>
        <v>37242.14699999999</v>
      </c>
      <c r="I28" s="42"/>
    </row>
    <row r="29" spans="1:9" x14ac:dyDescent="0.3">
      <c r="A29" s="38" t="s">
        <v>247</v>
      </c>
      <c r="B29" s="42"/>
      <c r="C29" s="129">
        <v>99.54</v>
      </c>
      <c r="D29" s="19">
        <v>365</v>
      </c>
      <c r="F29" s="24">
        <f t="shared" si="4"/>
        <v>99.54</v>
      </c>
      <c r="G29" s="42"/>
      <c r="H29" s="43">
        <f t="shared" si="5"/>
        <v>34515.495000000003</v>
      </c>
      <c r="I29" s="42"/>
    </row>
    <row r="30" spans="1:9" s="42" customFormat="1" x14ac:dyDescent="0.3">
      <c r="A30" s="38" t="s">
        <v>134</v>
      </c>
      <c r="C30" s="129"/>
      <c r="D30" s="19">
        <v>360</v>
      </c>
      <c r="E30" s="42">
        <v>74.489999999999995</v>
      </c>
      <c r="F30" s="24">
        <f t="shared" si="4"/>
        <v>-74.489999999999995</v>
      </c>
      <c r="H30" s="43">
        <f t="shared" si="5"/>
        <v>-25475.579999999998</v>
      </c>
    </row>
    <row r="31" spans="1:9" x14ac:dyDescent="0.3">
      <c r="A31" s="38" t="s">
        <v>248</v>
      </c>
      <c r="B31" s="42"/>
      <c r="C31" s="128">
        <v>119.99</v>
      </c>
      <c r="D31" s="19">
        <v>365</v>
      </c>
      <c r="F31" s="24">
        <f t="shared" si="4"/>
        <v>119.99</v>
      </c>
      <c r="G31" s="42"/>
      <c r="H31" s="43">
        <f t="shared" si="5"/>
        <v>41606.532499999994</v>
      </c>
      <c r="I31" s="42"/>
    </row>
    <row r="32" spans="1:9" x14ac:dyDescent="0.3">
      <c r="A32" s="38" t="s">
        <v>330</v>
      </c>
      <c r="B32" s="42"/>
      <c r="C32" s="128">
        <v>90</v>
      </c>
      <c r="D32" s="19">
        <v>350</v>
      </c>
      <c r="E32">
        <v>0</v>
      </c>
      <c r="F32" s="24">
        <f t="shared" si="4"/>
        <v>90</v>
      </c>
      <c r="G32" s="42"/>
      <c r="H32" s="43">
        <f t="shared" si="5"/>
        <v>29925</v>
      </c>
      <c r="I32" s="42"/>
    </row>
    <row r="33" spans="1:9" x14ac:dyDescent="0.3">
      <c r="A33" s="38" t="s">
        <v>249</v>
      </c>
      <c r="B33" s="42"/>
      <c r="C33" s="128">
        <v>99.69</v>
      </c>
      <c r="D33" s="19">
        <v>366</v>
      </c>
      <c r="E33">
        <v>77.7</v>
      </c>
      <c r="F33" s="24">
        <f t="shared" si="4"/>
        <v>21.989999999999995</v>
      </c>
      <c r="G33" s="42"/>
      <c r="H33" s="43">
        <f t="shared" si="5"/>
        <v>7645.922999999998</v>
      </c>
      <c r="I33" s="43">
        <f>H33</f>
        <v>7645.922999999998</v>
      </c>
    </row>
    <row r="34" spans="1:9" s="42" customFormat="1" x14ac:dyDescent="0.3">
      <c r="A34" s="38" t="s">
        <v>332</v>
      </c>
      <c r="C34" s="128"/>
      <c r="D34" s="19">
        <v>360</v>
      </c>
      <c r="E34" s="42">
        <v>93.62</v>
      </c>
      <c r="F34" s="24">
        <f t="shared" si="4"/>
        <v>-93.62</v>
      </c>
      <c r="H34" s="43">
        <f t="shared" si="5"/>
        <v>-32018.04</v>
      </c>
    </row>
    <row r="35" spans="1:9" x14ac:dyDescent="0.3">
      <c r="A35" s="38" t="s">
        <v>250</v>
      </c>
      <c r="B35" s="42" t="s">
        <v>99</v>
      </c>
      <c r="C35" s="128">
        <v>90.12</v>
      </c>
      <c r="D35" s="19">
        <v>365</v>
      </c>
      <c r="E35">
        <v>92.6</v>
      </c>
      <c r="F35" s="24">
        <f t="shared" si="4"/>
        <v>-2.4799999999999898</v>
      </c>
      <c r="G35" s="42"/>
      <c r="H35" s="43">
        <f t="shared" si="5"/>
        <v>-859.93999999999642</v>
      </c>
      <c r="I35" s="42"/>
    </row>
    <row r="36" spans="1:9" x14ac:dyDescent="0.3">
      <c r="A36" s="38" t="s">
        <v>136</v>
      </c>
      <c r="B36" s="42"/>
      <c r="C36" s="128">
        <v>100.07</v>
      </c>
      <c r="D36" s="19">
        <v>350</v>
      </c>
      <c r="E36">
        <v>84.62</v>
      </c>
      <c r="F36" s="24">
        <f t="shared" si="4"/>
        <v>15.449999999999989</v>
      </c>
      <c r="G36" s="42"/>
      <c r="H36" s="43">
        <f t="shared" si="5"/>
        <v>5137.1249999999964</v>
      </c>
      <c r="I36" s="43">
        <f t="shared" ref="I36:I40" si="6">H36</f>
        <v>5137.1249999999964</v>
      </c>
    </row>
    <row r="37" spans="1:9" x14ac:dyDescent="0.3">
      <c r="A37" s="38" t="s">
        <v>252</v>
      </c>
      <c r="B37" s="42"/>
      <c r="C37" s="128">
        <v>101.01</v>
      </c>
      <c r="D37" s="19">
        <v>365</v>
      </c>
      <c r="E37">
        <v>75.56</v>
      </c>
      <c r="F37" s="24">
        <f t="shared" si="4"/>
        <v>25.450000000000003</v>
      </c>
      <c r="G37" s="42"/>
      <c r="H37" s="43">
        <f t="shared" si="5"/>
        <v>8824.7875000000022</v>
      </c>
      <c r="I37" s="43">
        <f t="shared" si="6"/>
        <v>8824.7875000000022</v>
      </c>
    </row>
    <row r="38" spans="1:9" x14ac:dyDescent="0.3">
      <c r="A38" s="130" t="s">
        <v>137</v>
      </c>
      <c r="B38" s="58"/>
      <c r="C38" s="129">
        <v>88.43</v>
      </c>
      <c r="D38" s="19">
        <v>360</v>
      </c>
      <c r="E38">
        <v>80.66</v>
      </c>
      <c r="F38" s="24">
        <f t="shared" si="4"/>
        <v>7.7700000000000102</v>
      </c>
      <c r="G38" s="42"/>
      <c r="H38" s="43">
        <f t="shared" si="5"/>
        <v>2657.3400000000033</v>
      </c>
      <c r="I38" s="43">
        <f t="shared" si="6"/>
        <v>2657.3400000000033</v>
      </c>
    </row>
    <row r="39" spans="1:9" x14ac:dyDescent="0.3">
      <c r="A39" s="113" t="s">
        <v>138</v>
      </c>
      <c r="B39" s="58"/>
      <c r="C39" s="129">
        <v>91</v>
      </c>
      <c r="D39" s="19">
        <v>350</v>
      </c>
      <c r="E39">
        <v>64.819999999999993</v>
      </c>
      <c r="F39" s="24">
        <f t="shared" si="4"/>
        <v>26.180000000000007</v>
      </c>
      <c r="G39" s="42"/>
      <c r="H39" s="43">
        <f t="shared" si="5"/>
        <v>8704.8500000000022</v>
      </c>
      <c r="I39" s="43">
        <f t="shared" si="6"/>
        <v>8704.8500000000022</v>
      </c>
    </row>
    <row r="40" spans="1:9" x14ac:dyDescent="0.3">
      <c r="A40" s="38" t="s">
        <v>254</v>
      </c>
      <c r="B40" s="42"/>
      <c r="C40" s="128">
        <v>109.6</v>
      </c>
      <c r="D40" s="19">
        <v>366</v>
      </c>
      <c r="E40">
        <v>74.930000000000007</v>
      </c>
      <c r="F40" s="24">
        <f t="shared" si="4"/>
        <v>34.669999999999987</v>
      </c>
      <c r="G40" s="42"/>
      <c r="H40" s="43">
        <f t="shared" si="5"/>
        <v>12054.758999999995</v>
      </c>
      <c r="I40" s="43">
        <f t="shared" si="6"/>
        <v>12054.758999999995</v>
      </c>
    </row>
    <row r="41" spans="1:9" x14ac:dyDescent="0.3">
      <c r="A41" s="38" t="s">
        <v>286</v>
      </c>
      <c r="B41" s="42"/>
      <c r="C41" s="128">
        <v>90</v>
      </c>
      <c r="D41" s="19">
        <v>350</v>
      </c>
      <c r="E41">
        <v>85</v>
      </c>
      <c r="F41" s="24">
        <f t="shared" si="4"/>
        <v>5</v>
      </c>
      <c r="H41" s="43">
        <f t="shared" si="5"/>
        <v>1662.5</v>
      </c>
    </row>
    <row r="42" spans="1:9" s="42" customFormat="1" x14ac:dyDescent="0.3">
      <c r="A42" s="38"/>
      <c r="C42" s="128">
        <v>90</v>
      </c>
      <c r="D42" s="19">
        <v>350</v>
      </c>
      <c r="E42" s="42">
        <v>85</v>
      </c>
      <c r="F42" s="24">
        <f t="shared" si="4"/>
        <v>5</v>
      </c>
      <c r="H42" s="43">
        <f t="shared" si="5"/>
        <v>1662.5</v>
      </c>
    </row>
    <row r="44" spans="1:9" x14ac:dyDescent="0.3">
      <c r="C44" s="24">
        <f>SUM(C25:C41)</f>
        <v>1461.53</v>
      </c>
      <c r="E44" s="24">
        <f>SUM(E25:E42)</f>
        <v>1203.9100000000001</v>
      </c>
      <c r="F44" s="24">
        <f>SUM(F25:F42)</f>
        <v>347.62</v>
      </c>
      <c r="H44" s="43">
        <f>SUM(H25:H42)</f>
        <v>119496.89949999997</v>
      </c>
      <c r="I44" s="43">
        <f>SUM(I25:I42)</f>
        <v>55225.01999999999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111"/>
  <sheetViews>
    <sheetView workbookViewId="0">
      <pane xSplit="3" ySplit="3" topLeftCell="D52" activePane="bottomRight" state="frozen"/>
      <selection pane="topRight" activeCell="D1" sqref="D1"/>
      <selection pane="bottomLeft" activeCell="A4" sqref="A4"/>
      <selection pane="bottomRight" activeCell="D63" sqref="D63"/>
    </sheetView>
  </sheetViews>
  <sheetFormatPr defaultRowHeight="14.4" x14ac:dyDescent="0.3"/>
  <cols>
    <col min="2" max="2" width="22.5546875" customWidth="1"/>
  </cols>
  <sheetData>
    <row r="2" spans="1:18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x14ac:dyDescent="0.3">
      <c r="A3" s="25"/>
      <c r="B3" s="25"/>
      <c r="C3" s="25"/>
      <c r="D3" s="22" t="s">
        <v>100</v>
      </c>
      <c r="E3" s="22" t="s">
        <v>101</v>
      </c>
      <c r="F3" s="22" t="s">
        <v>102</v>
      </c>
      <c r="G3" s="22" t="s">
        <v>103</v>
      </c>
      <c r="H3" s="22" t="s">
        <v>104</v>
      </c>
      <c r="I3" s="22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  <c r="Q3" s="25"/>
      <c r="R3" s="25"/>
    </row>
    <row r="4" spans="1:18" x14ac:dyDescent="0.3">
      <c r="A4" s="194" t="s">
        <v>99</v>
      </c>
      <c r="B4" s="19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x14ac:dyDescent="0.3">
      <c r="A5" s="194" t="s">
        <v>1</v>
      </c>
      <c r="B5" s="19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x14ac:dyDescent="0.3">
      <c r="A6" s="26"/>
      <c r="B6" s="94" t="s">
        <v>2</v>
      </c>
      <c r="C6" s="25"/>
      <c r="D6" s="43">
        <f>APTS!D6+MIDTOWN!D6+Terrace!D6+Marshall!D6</f>
        <v>95137.229934520554</v>
      </c>
      <c r="E6" s="43">
        <f>APTS!E6+MIDTOWN!E6+Terrace!E6+Marshall!E6</f>
        <v>85829.804456986312</v>
      </c>
      <c r="F6" s="43">
        <f>APTS!F6+MIDTOWN!F6+Terrace!F6+Marshall!F6</f>
        <v>95137.229934520554</v>
      </c>
      <c r="G6" s="43">
        <f>APTS!G6+MIDTOWN!G6+Terrace!G6+Marshall!G6</f>
        <v>92034.754775342473</v>
      </c>
      <c r="H6" s="43">
        <f>APTS!H6+MIDTOWN!H6+Terrace!H6+Marshall!H6</f>
        <v>95137.229934520554</v>
      </c>
      <c r="I6" s="43">
        <f>APTS!I6+MIDTOWN!I6+Terrace!I6+Marshall!I6</f>
        <v>92034.754775342473</v>
      </c>
      <c r="J6" s="43">
        <f>APTS!J6+MIDTOWN!J6+Terrace!J6+Marshall!J6</f>
        <v>95137.229934520554</v>
      </c>
      <c r="K6" s="43">
        <f>APTS!K6+MIDTOWN!K6+Terrace!K6+Marshall!K6</f>
        <v>95137.229934520554</v>
      </c>
      <c r="L6" s="43">
        <f>APTS!L6+MIDTOWN!L6+Terrace!L6+Marshall!L6</f>
        <v>92034.754775342473</v>
      </c>
      <c r="M6" s="43">
        <f>APTS!M6+MIDTOWN!M6+Terrace!M6+Marshall!M6</f>
        <v>95137.229934520554</v>
      </c>
      <c r="N6" s="43">
        <f>APTS!N6+MIDTOWN!N6+Terrace!N6+Marshall!N6</f>
        <v>92034.754775342473</v>
      </c>
      <c r="O6" s="43">
        <f>APTS!O6+MIDTOWN!O6+Terrace!O6+Marshall!O6</f>
        <v>95168.187468767122</v>
      </c>
      <c r="P6" s="25">
        <f t="shared" ref="P6:P11" si="0">SUM(D6:O6)</f>
        <v>1119960.3906342469</v>
      </c>
      <c r="Q6" s="25"/>
      <c r="R6" s="25"/>
    </row>
    <row r="7" spans="1:18" x14ac:dyDescent="0.3">
      <c r="A7" s="26"/>
      <c r="B7" s="94" t="s">
        <v>204</v>
      </c>
      <c r="C7" s="25"/>
      <c r="D7" s="43">
        <f>APTS!D7+MIDTOWN!D7+Terrace!D7+Marshall!D7</f>
        <v>31486.079999999998</v>
      </c>
      <c r="E7" s="43">
        <f>APTS!E7+MIDTOWN!E7+Terrace!E7+Marshall!E7</f>
        <v>28439.039999999997</v>
      </c>
      <c r="F7" s="43">
        <f>APTS!F7+MIDTOWN!F7+Terrace!F7+Marshall!F7</f>
        <v>31486.079999999998</v>
      </c>
      <c r="G7" s="43">
        <f>APTS!G7+MIDTOWN!G7+Terrace!G7+Marshall!G7</f>
        <v>30470.399999999998</v>
      </c>
      <c r="H7" s="43">
        <f>APTS!H7+MIDTOWN!H7+Terrace!H7+Marshall!H7</f>
        <v>31486.079999999998</v>
      </c>
      <c r="I7" s="43">
        <f>APTS!I7+MIDTOWN!I7+Terrace!I7+Marshall!I7</f>
        <v>30470.399999999998</v>
      </c>
      <c r="J7" s="43">
        <f>APTS!J7+MIDTOWN!J7+Terrace!J7+Marshall!J7</f>
        <v>31486.079999999998</v>
      </c>
      <c r="K7" s="43">
        <f>APTS!K7+MIDTOWN!K7+Terrace!K7+Marshall!K7</f>
        <v>31486.079999999998</v>
      </c>
      <c r="L7" s="43">
        <f>APTS!L7+MIDTOWN!L7+Terrace!L7+Marshall!L7</f>
        <v>30470.399999999998</v>
      </c>
      <c r="M7" s="43">
        <f>APTS!M7+MIDTOWN!M7+Terrace!M7+Marshall!M7</f>
        <v>31486.079999999998</v>
      </c>
      <c r="N7" s="43">
        <f>APTS!N7+MIDTOWN!N7+Terrace!N7+Marshall!N7</f>
        <v>30470.399999999998</v>
      </c>
      <c r="O7" s="43">
        <f>APTS!O7+MIDTOWN!O7+Terrace!O7+Marshall!O7</f>
        <v>31486.079999999998</v>
      </c>
      <c r="P7" s="25">
        <f t="shared" si="0"/>
        <v>370723.2</v>
      </c>
      <c r="Q7" s="25"/>
      <c r="R7" s="25"/>
    </row>
    <row r="8" spans="1:18" s="42" customFormat="1" x14ac:dyDescent="0.3">
      <c r="A8" s="26"/>
      <c r="B8" s="94" t="s">
        <v>205</v>
      </c>
      <c r="C8" s="43"/>
      <c r="D8" s="43">
        <f>APTS!D8+MIDTOWN!D8+Terrace!D8+Marshall!D8</f>
        <v>3792</v>
      </c>
      <c r="E8" s="43">
        <f>APTS!E8+MIDTOWN!E8+Terrace!E8+Marshall!E8</f>
        <v>3702</v>
      </c>
      <c r="F8" s="43">
        <f>APTS!F8+MIDTOWN!F8+Terrace!F8+Marshall!F8</f>
        <v>3702</v>
      </c>
      <c r="G8" s="43">
        <f>APTS!G8+MIDTOWN!G8+Terrace!G8+Marshall!G8</f>
        <v>3702</v>
      </c>
      <c r="H8" s="43">
        <f>APTS!H8+MIDTOWN!H8+Terrace!H8+Marshall!H8</f>
        <v>3702</v>
      </c>
      <c r="I8" s="43">
        <f>APTS!I8+MIDTOWN!I8+Terrace!I8+Marshall!I8</f>
        <v>3702</v>
      </c>
      <c r="J8" s="43">
        <f>APTS!J8+MIDTOWN!J8+Terrace!J8+Marshall!J8</f>
        <v>3702</v>
      </c>
      <c r="K8" s="43">
        <f>APTS!K8+MIDTOWN!K8+Terrace!K8+Marshall!K8</f>
        <v>3702</v>
      </c>
      <c r="L8" s="43">
        <f>APTS!L8+MIDTOWN!L8+Terrace!L8+Marshall!L8</f>
        <v>3702</v>
      </c>
      <c r="M8" s="43">
        <f>APTS!M8+MIDTOWN!M8+Terrace!M8+Marshall!M8</f>
        <v>3702</v>
      </c>
      <c r="N8" s="43">
        <f>APTS!N8+MIDTOWN!N8+Terrace!N8+Marshall!N8</f>
        <v>3702</v>
      </c>
      <c r="O8" s="43">
        <f>APTS!O8+MIDTOWN!O8+Terrace!O8+Marshall!O8</f>
        <v>3702</v>
      </c>
      <c r="P8" s="43">
        <f t="shared" si="0"/>
        <v>44514</v>
      </c>
      <c r="Q8" s="43"/>
      <c r="R8" s="43"/>
    </row>
    <row r="9" spans="1:18" x14ac:dyDescent="0.3">
      <c r="A9" s="26"/>
      <c r="B9" s="94" t="s">
        <v>4</v>
      </c>
      <c r="C9" s="25"/>
      <c r="D9" s="43">
        <f>APTS!D9+MIDTOWN!D9+Terrace!D9+Marshall!D9</f>
        <v>0</v>
      </c>
      <c r="E9" s="43">
        <f>APTS!E9+MIDTOWN!E9+Terrace!E9+Marshall!E9</f>
        <v>0</v>
      </c>
      <c r="F9" s="43">
        <f>APTS!F9+MIDTOWN!F9+Terrace!F9+Marshall!F9</f>
        <v>0</v>
      </c>
      <c r="G9" s="43">
        <f>APTS!G9+MIDTOWN!G9+Terrace!G9+Marshall!G9</f>
        <v>0</v>
      </c>
      <c r="H9" s="43">
        <f>APTS!H9+MIDTOWN!H9+Terrace!H9+Marshall!H9</f>
        <v>0</v>
      </c>
      <c r="I9" s="43">
        <f>APTS!I9+MIDTOWN!I9+Terrace!I9+Marshall!I9</f>
        <v>0</v>
      </c>
      <c r="J9" s="43">
        <f>APTS!J9+MIDTOWN!J9+Terrace!J9+Marshall!J9</f>
        <v>0</v>
      </c>
      <c r="K9" s="43">
        <f>APTS!K9+MIDTOWN!K9+Terrace!K9+Marshall!K9</f>
        <v>0</v>
      </c>
      <c r="L9" s="43">
        <f>APTS!L9+MIDTOWN!L9+Terrace!L9+Marshall!L9</f>
        <v>0</v>
      </c>
      <c r="M9" s="43">
        <f>APTS!M9+MIDTOWN!M9+Terrace!M9+Marshall!M9</f>
        <v>0</v>
      </c>
      <c r="N9" s="43">
        <f>APTS!N9+MIDTOWN!N9+Terrace!N9+Marshall!N9</f>
        <v>0</v>
      </c>
      <c r="O9" s="43">
        <f>APTS!O9+MIDTOWN!O9+Terrace!O9+Marshall!O9</f>
        <v>0</v>
      </c>
      <c r="P9" s="43">
        <f t="shared" si="0"/>
        <v>0</v>
      </c>
      <c r="Q9" s="25"/>
      <c r="R9" s="25"/>
    </row>
    <row r="10" spans="1:18" s="42" customFormat="1" x14ac:dyDescent="0.3">
      <c r="A10" s="26"/>
      <c r="B10" s="94" t="s">
        <v>206</v>
      </c>
      <c r="C10" s="43"/>
      <c r="D10" s="43">
        <f>APTS!D10+MIDTOWN!D10+Terrace!D10+Marshall!D10</f>
        <v>0</v>
      </c>
      <c r="E10" s="43">
        <f>APTS!E10+MIDTOWN!E10+Terrace!E10+Marshall!E10</f>
        <v>0</v>
      </c>
      <c r="F10" s="43">
        <f>APTS!F10+MIDTOWN!F10+Terrace!F10+Marshall!F10</f>
        <v>19041.61</v>
      </c>
      <c r="G10" s="43">
        <f>APTS!G10+MIDTOWN!G10+Terrace!G10+Marshall!G10</f>
        <v>0</v>
      </c>
      <c r="H10" s="43">
        <f>APTS!H10+MIDTOWN!H10+Terrace!H10+Marshall!H10</f>
        <v>0</v>
      </c>
      <c r="I10" s="43">
        <f>APTS!I10+MIDTOWN!I10+Terrace!I10+Marshall!I10</f>
        <v>0</v>
      </c>
      <c r="J10" s="43">
        <f>APTS!J10+MIDTOWN!J10+Terrace!J10+Marshall!J10</f>
        <v>0</v>
      </c>
      <c r="K10" s="43">
        <f>APTS!K10+MIDTOWN!K10+Terrace!K10+Marshall!K10</f>
        <v>0</v>
      </c>
      <c r="L10" s="43">
        <f>APTS!L10+MIDTOWN!L10+Terrace!L10+Marshall!L10</f>
        <v>0</v>
      </c>
      <c r="M10" s="43">
        <f>APTS!M10+MIDTOWN!M10+Terrace!M10+Marshall!M10</f>
        <v>0</v>
      </c>
      <c r="N10" s="43">
        <f>APTS!N10+MIDTOWN!N10+Terrace!N10+Marshall!N10</f>
        <v>0</v>
      </c>
      <c r="O10" s="43">
        <f>APTS!O10+MIDTOWN!O10+Terrace!O10+Marshall!O10</f>
        <v>0</v>
      </c>
      <c r="P10" s="43">
        <f t="shared" si="0"/>
        <v>19041.61</v>
      </c>
      <c r="Q10" s="43"/>
      <c r="R10" s="43"/>
    </row>
    <row r="11" spans="1:18" x14ac:dyDescent="0.3">
      <c r="A11" s="26"/>
      <c r="B11" s="94" t="s">
        <v>207</v>
      </c>
      <c r="C11" s="25"/>
      <c r="D11" s="43">
        <f>APTS!D11+MIDTOWN!D11+Terrace!D11+Marshall!D11</f>
        <v>0</v>
      </c>
      <c r="E11" s="43">
        <f>APTS!E11+MIDTOWN!E11+Terrace!E11+Marshall!E11</f>
        <v>0</v>
      </c>
      <c r="F11" s="43">
        <f>APTS!F11+MIDTOWN!F11+Terrace!F11+Marshall!F11</f>
        <v>0</v>
      </c>
      <c r="G11" s="43">
        <f>APTS!G11+MIDTOWN!G11+Terrace!G11+Marshall!G11</f>
        <v>0</v>
      </c>
      <c r="H11" s="43">
        <f>APTS!H11+MIDTOWN!H11+Terrace!H11+Marshall!H11</f>
        <v>0</v>
      </c>
      <c r="I11" s="43">
        <f>APTS!I11+MIDTOWN!I11+Terrace!I11+Marshall!I11</f>
        <v>0</v>
      </c>
      <c r="J11" s="43">
        <f>APTS!J11+MIDTOWN!J11+Terrace!J11+Marshall!J11</f>
        <v>0</v>
      </c>
      <c r="K11" s="43">
        <f>APTS!K11+MIDTOWN!K11+Terrace!K11+Marshall!K11</f>
        <v>0</v>
      </c>
      <c r="L11" s="43">
        <f>APTS!L11+MIDTOWN!L11+Terrace!L11+Marshall!L11</f>
        <v>0</v>
      </c>
      <c r="M11" s="43">
        <f>APTS!M11+MIDTOWN!M11+Terrace!M11+Marshall!M11</f>
        <v>0</v>
      </c>
      <c r="N11" s="43">
        <f>APTS!N11+MIDTOWN!N11+Terrace!N11+Marshall!N11</f>
        <v>0</v>
      </c>
      <c r="O11" s="43">
        <f>APTS!O11+MIDTOWN!O11+Terrace!O11+Marshall!O11</f>
        <v>0</v>
      </c>
      <c r="P11" s="43">
        <f t="shared" si="0"/>
        <v>0</v>
      </c>
      <c r="Q11" s="25"/>
      <c r="R11" s="25"/>
    </row>
    <row r="12" spans="1:18" x14ac:dyDescent="0.3">
      <c r="A12" s="194" t="s">
        <v>6</v>
      </c>
      <c r="B12" s="194"/>
      <c r="C12" s="25"/>
      <c r="D12" s="28">
        <f t="shared" ref="D12:I12" si="1">SUM(D6:D11)</f>
        <v>130415.30993452056</v>
      </c>
      <c r="E12" s="28">
        <f t="shared" si="1"/>
        <v>117970.84445698631</v>
      </c>
      <c r="F12" s="28">
        <f t="shared" si="1"/>
        <v>149366.91993452056</v>
      </c>
      <c r="G12" s="28">
        <f t="shared" si="1"/>
        <v>126207.15477534247</v>
      </c>
      <c r="H12" s="28">
        <f t="shared" si="1"/>
        <v>130325.30993452056</v>
      </c>
      <c r="I12" s="28">
        <f t="shared" si="1"/>
        <v>126207.15477534247</v>
      </c>
      <c r="J12" s="28">
        <f t="shared" ref="J12:P12" si="2">SUM(J6:J11)</f>
        <v>130325.30993452056</v>
      </c>
      <c r="K12" s="28">
        <f t="shared" si="2"/>
        <v>130325.30993452056</v>
      </c>
      <c r="L12" s="28">
        <f t="shared" si="2"/>
        <v>126207.15477534247</v>
      </c>
      <c r="M12" s="28">
        <f t="shared" si="2"/>
        <v>130325.30993452056</v>
      </c>
      <c r="N12" s="28">
        <f t="shared" si="2"/>
        <v>126207.15477534247</v>
      </c>
      <c r="O12" s="28">
        <f t="shared" si="2"/>
        <v>130356.26746876712</v>
      </c>
      <c r="P12" s="28">
        <f t="shared" si="2"/>
        <v>1554239.2006342469</v>
      </c>
      <c r="Q12" s="29">
        <f>P12-P6-P7-P9-P11</f>
        <v>63555.610000000044</v>
      </c>
      <c r="R12" s="25"/>
    </row>
    <row r="13" spans="1:18" x14ac:dyDescent="0.3">
      <c r="A13" s="194" t="s">
        <v>7</v>
      </c>
      <c r="B13" s="194"/>
      <c r="C13" s="25"/>
      <c r="D13" s="43"/>
      <c r="E13" s="43"/>
      <c r="F13" s="43"/>
      <c r="G13" s="43"/>
      <c r="H13" s="43"/>
      <c r="I13" s="43"/>
      <c r="J13" s="25"/>
      <c r="K13" s="25"/>
      <c r="L13" s="25"/>
      <c r="M13" s="25"/>
      <c r="N13" s="25"/>
      <c r="O13" s="25"/>
      <c r="P13" s="25"/>
      <c r="Q13" s="25"/>
      <c r="R13" s="25"/>
    </row>
    <row r="14" spans="1:18" x14ac:dyDescent="0.3">
      <c r="A14" s="26"/>
      <c r="B14" s="97" t="s">
        <v>8</v>
      </c>
      <c r="C14" s="25"/>
      <c r="D14" s="43">
        <f>APTS!D14+MIDTOWN!D14+Terrace!D14+Marshall!D14</f>
        <v>33397</v>
      </c>
      <c r="E14" s="43">
        <f>APTS!E14+MIDTOWN!E14+Terrace!E14+Marshall!E14</f>
        <v>30488</v>
      </c>
      <c r="F14" s="43">
        <f>APTS!F14+MIDTOWN!F14+Terrace!F14+Marshall!F14</f>
        <v>30488</v>
      </c>
      <c r="G14" s="43">
        <f>APTS!G14+MIDTOWN!G14+Terrace!G14+Marshall!G14</f>
        <v>30488</v>
      </c>
      <c r="H14" s="43">
        <f>APTS!H14+MIDTOWN!H14+Terrace!H14+Marshall!H14</f>
        <v>30488</v>
      </c>
      <c r="I14" s="43">
        <f>APTS!I14+MIDTOWN!I14+Terrace!I14+Marshall!I14</f>
        <v>30489</v>
      </c>
      <c r="J14" s="43">
        <f>APTS!J14+MIDTOWN!J14+Terrace!J14+Marshall!J14</f>
        <v>33761</v>
      </c>
      <c r="K14" s="43">
        <f>APTS!K14+MIDTOWN!K14+Terrace!K14+Marshall!K14</f>
        <v>30853</v>
      </c>
      <c r="L14" s="43">
        <f>APTS!L14+MIDTOWN!L14+Terrace!L14+Marshall!L14</f>
        <v>30853</v>
      </c>
      <c r="M14" s="43">
        <f>APTS!M14+MIDTOWN!M14+Terrace!M14+Marshall!M14</f>
        <v>30853</v>
      </c>
      <c r="N14" s="43">
        <f>APTS!N14+MIDTOWN!N14+Terrace!N14+Marshall!N14</f>
        <v>30853</v>
      </c>
      <c r="O14" s="43">
        <f>APTS!O14+MIDTOWN!O14+Terrace!O14+Marshall!O14</f>
        <v>30853</v>
      </c>
      <c r="P14" s="25">
        <f>SUM(D14:O14)</f>
        <v>373864</v>
      </c>
      <c r="Q14" s="25"/>
      <c r="R14" s="25"/>
    </row>
    <row r="15" spans="1:18" x14ac:dyDescent="0.3">
      <c r="A15" s="26"/>
      <c r="B15" s="97" t="s">
        <v>9</v>
      </c>
      <c r="C15" s="25"/>
      <c r="D15" s="43">
        <f>APTS!D15+MIDTOWN!D15+Terrace!D15+Marshall!D15</f>
        <v>0</v>
      </c>
      <c r="E15" s="43">
        <f>APTS!E15+MIDTOWN!E15+Terrace!E15+Marshall!E15</f>
        <v>0</v>
      </c>
      <c r="F15" s="43">
        <f>APTS!F15+MIDTOWN!F15+Terrace!F15+Marshall!F15</f>
        <v>0</v>
      </c>
      <c r="G15" s="43">
        <f>APTS!G15+MIDTOWN!G15+Terrace!G15+Marshall!G15</f>
        <v>0</v>
      </c>
      <c r="H15" s="43">
        <f>APTS!H15+MIDTOWN!H15+Terrace!H15+Marshall!H15</f>
        <v>0</v>
      </c>
      <c r="I15" s="43">
        <f>APTS!I15+MIDTOWN!I15+Terrace!I15+Marshall!I15</f>
        <v>0</v>
      </c>
      <c r="J15" s="43">
        <f>APTS!J15+MIDTOWN!J15+Terrace!J15+Marshall!J15</f>
        <v>0</v>
      </c>
      <c r="K15" s="43">
        <f>APTS!K15+MIDTOWN!K15+Terrace!K15+Marshall!K15</f>
        <v>0</v>
      </c>
      <c r="L15" s="43">
        <f>APTS!L15+MIDTOWN!L15+Terrace!L15+Marshall!L15</f>
        <v>0</v>
      </c>
      <c r="M15" s="43">
        <f>APTS!M15+MIDTOWN!M15+Terrace!M15+Marshall!M15</f>
        <v>0</v>
      </c>
      <c r="N15" s="43">
        <f>APTS!N15+MIDTOWN!N15+Terrace!N15+Marshall!N15</f>
        <v>0</v>
      </c>
      <c r="O15" s="43">
        <f>APTS!O15+MIDTOWN!O15+Terrace!O15+Marshall!O15</f>
        <v>0</v>
      </c>
      <c r="P15" s="25">
        <f>SUM(D15:O15)</f>
        <v>0</v>
      </c>
      <c r="Q15" s="25"/>
      <c r="R15" s="25"/>
    </row>
    <row r="16" spans="1:18" x14ac:dyDescent="0.3">
      <c r="A16" s="26"/>
      <c r="B16" s="97" t="s">
        <v>219</v>
      </c>
      <c r="C16" s="25"/>
      <c r="D16" s="43">
        <f>APTS!D16+MIDTOWN!D16+Terrace!D16+Marshall!D16</f>
        <v>10531</v>
      </c>
      <c r="E16" s="43">
        <f>APTS!E16+MIDTOWN!E16+Terrace!E16+Marshall!E16</f>
        <v>6756</v>
      </c>
      <c r="F16" s="43">
        <f>APTS!F16+MIDTOWN!F16+Terrace!F16+Marshall!F16</f>
        <v>6756</v>
      </c>
      <c r="G16" s="43">
        <f>APTS!G16+MIDTOWN!G16+Terrace!G16+Marshall!G16</f>
        <v>6756</v>
      </c>
      <c r="H16" s="43">
        <f>APTS!H16+MIDTOWN!H16+Terrace!H16+Marshall!H16</f>
        <v>6756</v>
      </c>
      <c r="I16" s="43">
        <f>APTS!I16+MIDTOWN!I16+Terrace!I16+Marshall!I16</f>
        <v>6756</v>
      </c>
      <c r="J16" s="43">
        <f>APTS!J16+MIDTOWN!J16+Terrace!J16+Marshall!J16</f>
        <v>14698</v>
      </c>
      <c r="K16" s="43">
        <f>APTS!K16+MIDTOWN!K16+Terrace!K16+Marshall!K16</f>
        <v>10923</v>
      </c>
      <c r="L16" s="43">
        <f>APTS!L16+MIDTOWN!L16+Terrace!L16+Marshall!L16</f>
        <v>10923</v>
      </c>
      <c r="M16" s="43">
        <f>APTS!M16+MIDTOWN!M16+Terrace!M16+Marshall!M16</f>
        <v>10923</v>
      </c>
      <c r="N16" s="43">
        <f>APTS!N16+MIDTOWN!N16+Terrace!N16+Marshall!N16</f>
        <v>10923</v>
      </c>
      <c r="O16" s="43">
        <f>APTS!O16+MIDTOWN!O16+Terrace!O16+Marshall!O16</f>
        <v>10923</v>
      </c>
      <c r="P16" s="25">
        <f>SUM(D16:O16)</f>
        <v>113624</v>
      </c>
      <c r="Q16" s="25"/>
      <c r="R16" s="25"/>
    </row>
    <row r="17" spans="1:18" x14ac:dyDescent="0.3">
      <c r="A17" s="26"/>
      <c r="B17" s="66" t="s">
        <v>16</v>
      </c>
      <c r="C17" s="25"/>
      <c r="D17" s="43">
        <f>APTS!D17+MIDTOWN!D17+Terrace!D17+Marshall!D17</f>
        <v>0</v>
      </c>
      <c r="E17" s="43">
        <f>APTS!E17+MIDTOWN!E17+Terrace!E17+Marshall!E17</f>
        <v>0</v>
      </c>
      <c r="F17" s="43">
        <f>APTS!F17+MIDTOWN!F17+Terrace!F17+Marshall!F17</f>
        <v>0</v>
      </c>
      <c r="G17" s="43">
        <f>APTS!G17+MIDTOWN!G17+Terrace!G17+Marshall!G17</f>
        <v>0</v>
      </c>
      <c r="H17" s="43">
        <f>APTS!H17+MIDTOWN!H17+Terrace!H17+Marshall!H17</f>
        <v>0</v>
      </c>
      <c r="I17" s="43">
        <f>APTS!I17+MIDTOWN!I17+Terrace!I17+Marshall!I17</f>
        <v>0</v>
      </c>
      <c r="J17" s="43">
        <f>APTS!J17+MIDTOWN!J17+Terrace!J17+Marshall!J17</f>
        <v>0</v>
      </c>
      <c r="K17" s="43">
        <f>APTS!K17+MIDTOWN!K17+Terrace!K17+Marshall!K17</f>
        <v>0</v>
      </c>
      <c r="L17" s="43">
        <f>APTS!L17+MIDTOWN!L17+Terrace!L17+Marshall!L17</f>
        <v>0</v>
      </c>
      <c r="M17" s="43">
        <f>APTS!M17+MIDTOWN!M17+Terrace!M17+Marshall!M17</f>
        <v>0</v>
      </c>
      <c r="N17" s="43">
        <f>APTS!N17+MIDTOWN!N17+Terrace!N17+Marshall!N17</f>
        <v>0</v>
      </c>
      <c r="O17" s="43">
        <f>APTS!O17+MIDTOWN!O17+Terrace!O17+Marshall!O17</f>
        <v>0</v>
      </c>
      <c r="P17" s="25">
        <f>SUM(D17:O17)</f>
        <v>0</v>
      </c>
      <c r="Q17" s="25"/>
      <c r="R17" s="25"/>
    </row>
    <row r="18" spans="1:18" x14ac:dyDescent="0.3">
      <c r="A18" s="194" t="s">
        <v>10</v>
      </c>
      <c r="B18" s="194"/>
      <c r="C18" s="25"/>
      <c r="D18" s="28">
        <f t="shared" ref="D18:I18" si="3">SUM(D14:D17)</f>
        <v>43928</v>
      </c>
      <c r="E18" s="28">
        <f t="shared" si="3"/>
        <v>37244</v>
      </c>
      <c r="F18" s="28">
        <f t="shared" si="3"/>
        <v>37244</v>
      </c>
      <c r="G18" s="28">
        <f t="shared" si="3"/>
        <v>37244</v>
      </c>
      <c r="H18" s="28">
        <f t="shared" si="3"/>
        <v>37244</v>
      </c>
      <c r="I18" s="28">
        <f t="shared" si="3"/>
        <v>37245</v>
      </c>
      <c r="J18" s="28">
        <f t="shared" ref="J18:P18" si="4">SUM(J14:J17)</f>
        <v>48459</v>
      </c>
      <c r="K18" s="28">
        <f t="shared" si="4"/>
        <v>41776</v>
      </c>
      <c r="L18" s="28">
        <f t="shared" si="4"/>
        <v>41776</v>
      </c>
      <c r="M18" s="28">
        <f t="shared" si="4"/>
        <v>41776</v>
      </c>
      <c r="N18" s="28">
        <f t="shared" si="4"/>
        <v>41776</v>
      </c>
      <c r="O18" s="28">
        <f t="shared" si="4"/>
        <v>41776</v>
      </c>
      <c r="P18" s="28">
        <f t="shared" si="4"/>
        <v>487488</v>
      </c>
      <c r="Q18" s="29">
        <f>P18-P14-P15-P16-P17</f>
        <v>0</v>
      </c>
      <c r="R18" s="25"/>
    </row>
    <row r="19" spans="1:18" x14ac:dyDescent="0.3">
      <c r="A19" s="194" t="s">
        <v>11</v>
      </c>
      <c r="B19" s="194"/>
      <c r="C19" s="25"/>
      <c r="D19" s="43"/>
      <c r="E19" s="43"/>
      <c r="F19" s="43"/>
      <c r="G19" s="43"/>
      <c r="H19" s="43"/>
      <c r="I19" s="43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3">
      <c r="A20" s="26"/>
      <c r="B20" s="27" t="s">
        <v>12</v>
      </c>
      <c r="C20" s="25"/>
      <c r="D20" s="43">
        <f>APTS!D20+MIDTOWN!D20+Terrace!D20+Marshall!D20</f>
        <v>0</v>
      </c>
      <c r="E20" s="43">
        <f>APTS!E20+MIDTOWN!E20+Terrace!E20+Marshall!E20</f>
        <v>0</v>
      </c>
      <c r="F20" s="43">
        <f>APTS!F20+MIDTOWN!F20+Terrace!F20+Marshall!F20</f>
        <v>0</v>
      </c>
      <c r="G20" s="43">
        <f>APTS!G20+MIDTOWN!G20+Terrace!G20+Marshall!G20</f>
        <v>0</v>
      </c>
      <c r="H20" s="43">
        <f>APTS!H20+MIDTOWN!H20+Terrace!H20+Marshall!H20</f>
        <v>0</v>
      </c>
      <c r="I20" s="43">
        <f>APTS!I20+MIDTOWN!I20+Terrace!I20+Marshall!I20</f>
        <v>0</v>
      </c>
      <c r="J20" s="43">
        <f>APTS!J20+MIDTOWN!J20+Terrace!J20+Marshall!J20</f>
        <v>0</v>
      </c>
      <c r="K20" s="43">
        <f>APTS!K20+MIDTOWN!K20+Terrace!K20+Marshall!K20</f>
        <v>0</v>
      </c>
      <c r="L20" s="43">
        <f>APTS!L20+MIDTOWN!L20+Terrace!L20+Marshall!L20</f>
        <v>0</v>
      </c>
      <c r="M20" s="43">
        <f>APTS!M20+MIDTOWN!M20+Terrace!M20+Marshall!M20</f>
        <v>0</v>
      </c>
      <c r="N20" s="43">
        <f>APTS!N20+MIDTOWN!N20+Terrace!N20+Marshall!N20</f>
        <v>0</v>
      </c>
      <c r="O20" s="43">
        <f>APTS!O20+MIDTOWN!O20+Terrace!O20+Marshall!O20</f>
        <v>0</v>
      </c>
      <c r="P20" s="43">
        <f t="shared" ref="P20:P25" si="5">SUM(D20:O20)</f>
        <v>0</v>
      </c>
      <c r="Q20" s="25"/>
      <c r="R20" s="25"/>
    </row>
    <row r="21" spans="1:18" x14ac:dyDescent="0.3">
      <c r="A21" s="26"/>
      <c r="B21" s="27" t="s">
        <v>96</v>
      </c>
      <c r="C21" s="25"/>
      <c r="D21" s="43">
        <f>APTS!D21+MIDTOWN!D21+Terrace!D21+Marshall!D21</f>
        <v>0</v>
      </c>
      <c r="E21" s="43">
        <f>APTS!E21+MIDTOWN!E21+Terrace!E21+Marshall!E21</f>
        <v>0</v>
      </c>
      <c r="F21" s="43">
        <f>APTS!F21+MIDTOWN!F21+Terrace!F21+Marshall!F21</f>
        <v>0</v>
      </c>
      <c r="G21" s="43">
        <f>APTS!G21+MIDTOWN!G21+Terrace!G21+Marshall!G21</f>
        <v>0</v>
      </c>
      <c r="H21" s="43">
        <f>APTS!H21+MIDTOWN!H21+Terrace!H21+Marshall!H21</f>
        <v>0</v>
      </c>
      <c r="I21" s="43">
        <f>APTS!I21+MIDTOWN!I21+Terrace!I21+Marshall!I21</f>
        <v>0</v>
      </c>
      <c r="J21" s="43">
        <f>APTS!J21+MIDTOWN!J21+Terrace!J21+Marshall!J21</f>
        <v>0</v>
      </c>
      <c r="K21" s="43">
        <f>APTS!K21+MIDTOWN!K21+Terrace!K21+Marshall!K21</f>
        <v>0</v>
      </c>
      <c r="L21" s="43">
        <f>APTS!L21+MIDTOWN!L21+Terrace!L21+Marshall!L21</f>
        <v>0</v>
      </c>
      <c r="M21" s="43">
        <f>APTS!M21+MIDTOWN!M21+Terrace!M21+Marshall!M21</f>
        <v>0</v>
      </c>
      <c r="N21" s="43">
        <f>APTS!N21+MIDTOWN!N21+Terrace!N21+Marshall!N21</f>
        <v>0</v>
      </c>
      <c r="O21" s="43">
        <f>APTS!O21+MIDTOWN!O21+Terrace!O21+Marshall!O21</f>
        <v>0</v>
      </c>
      <c r="P21" s="43">
        <f t="shared" si="5"/>
        <v>0</v>
      </c>
      <c r="Q21" s="25"/>
      <c r="R21" s="25"/>
    </row>
    <row r="22" spans="1:18" x14ac:dyDescent="0.3">
      <c r="A22" s="26"/>
      <c r="B22" s="27" t="s">
        <v>97</v>
      </c>
      <c r="C22" s="25"/>
      <c r="D22" s="43">
        <f>APTS!D22+MIDTOWN!D22+Terrace!D22+Marshall!D22</f>
        <v>0</v>
      </c>
      <c r="E22" s="43">
        <f>APTS!E22+MIDTOWN!E22+Terrace!E22+Marshall!E22</f>
        <v>0</v>
      </c>
      <c r="F22" s="43">
        <f>APTS!F22+MIDTOWN!F22+Terrace!F22+Marshall!F22</f>
        <v>0</v>
      </c>
      <c r="G22" s="43">
        <f>APTS!G22+MIDTOWN!G22+Terrace!G22+Marshall!G22</f>
        <v>0</v>
      </c>
      <c r="H22" s="43">
        <f>APTS!H22+MIDTOWN!H22+Terrace!H22+Marshall!H22</f>
        <v>0</v>
      </c>
      <c r="I22" s="43">
        <f>APTS!I22+MIDTOWN!I22+Terrace!I22+Marshall!I22</f>
        <v>0</v>
      </c>
      <c r="J22" s="43">
        <f>APTS!J22+MIDTOWN!J22+Terrace!J22+Marshall!J22</f>
        <v>0</v>
      </c>
      <c r="K22" s="43">
        <f>APTS!K22+MIDTOWN!K22+Terrace!K22+Marshall!K22</f>
        <v>0</v>
      </c>
      <c r="L22" s="43">
        <f>APTS!L22+MIDTOWN!L22+Terrace!L22+Marshall!L22</f>
        <v>0</v>
      </c>
      <c r="M22" s="43">
        <f>APTS!M22+MIDTOWN!M22+Terrace!M22+Marshall!M22</f>
        <v>0</v>
      </c>
      <c r="N22" s="43">
        <f>APTS!N22+MIDTOWN!N22+Terrace!N22+Marshall!N22</f>
        <v>0</v>
      </c>
      <c r="O22" s="43">
        <f>APTS!O22+MIDTOWN!O22+Terrace!O22+Marshall!O22</f>
        <v>0</v>
      </c>
      <c r="P22" s="43">
        <f t="shared" si="5"/>
        <v>0</v>
      </c>
      <c r="Q22" s="25"/>
      <c r="R22" s="25"/>
    </row>
    <row r="23" spans="1:18" x14ac:dyDescent="0.3">
      <c r="A23" s="26"/>
      <c r="B23" s="27" t="s">
        <v>13</v>
      </c>
      <c r="C23" s="25"/>
      <c r="D23" s="43">
        <f>APTS!D23+MIDTOWN!D23+Terrace!D23+Marshall!D23</f>
        <v>0</v>
      </c>
      <c r="E23" s="43">
        <f>APTS!E23+MIDTOWN!E23+Terrace!E23+Marshall!E23</f>
        <v>0</v>
      </c>
      <c r="F23" s="43">
        <f>APTS!F23+MIDTOWN!F23+Terrace!F23+Marshall!F23</f>
        <v>0</v>
      </c>
      <c r="G23" s="43">
        <f>APTS!G23+MIDTOWN!G23+Terrace!G23+Marshall!G23</f>
        <v>0</v>
      </c>
      <c r="H23" s="43">
        <f>APTS!H23+MIDTOWN!H23+Terrace!H23+Marshall!H23</f>
        <v>0</v>
      </c>
      <c r="I23" s="43">
        <f>APTS!I23+MIDTOWN!I23+Terrace!I23+Marshall!I23</f>
        <v>0</v>
      </c>
      <c r="J23" s="43">
        <f>APTS!J23+MIDTOWN!J23+Terrace!J23+Marshall!J23</f>
        <v>0</v>
      </c>
      <c r="K23" s="43">
        <f>APTS!K23+MIDTOWN!K23+Terrace!K23+Marshall!K23</f>
        <v>0</v>
      </c>
      <c r="L23" s="43">
        <f>APTS!L23+MIDTOWN!L23+Terrace!L23+Marshall!L23</f>
        <v>0</v>
      </c>
      <c r="M23" s="43">
        <f>APTS!M23+MIDTOWN!M23+Terrace!M23+Marshall!M23</f>
        <v>0</v>
      </c>
      <c r="N23" s="43">
        <f>APTS!N23+MIDTOWN!N23+Terrace!N23+Marshall!N23</f>
        <v>0</v>
      </c>
      <c r="O23" s="43">
        <f>APTS!O23+MIDTOWN!O23+Terrace!O23+Marshall!O23</f>
        <v>0</v>
      </c>
      <c r="P23" s="43">
        <f t="shared" si="5"/>
        <v>0</v>
      </c>
      <c r="Q23" s="25"/>
      <c r="R23" s="25"/>
    </row>
    <row r="24" spans="1:18" x14ac:dyDescent="0.3">
      <c r="A24" s="26"/>
      <c r="B24" s="27" t="s">
        <v>14</v>
      </c>
      <c r="C24" s="25"/>
      <c r="D24" s="43">
        <f>APTS!D24+MIDTOWN!D24+Terrace!D24+Marshall!D24</f>
        <v>0</v>
      </c>
      <c r="E24" s="43">
        <f>APTS!E24+MIDTOWN!E24+Terrace!E24+Marshall!E24</f>
        <v>0</v>
      </c>
      <c r="F24" s="43">
        <f>APTS!F24+MIDTOWN!F24+Terrace!F24+Marshall!F24</f>
        <v>0</v>
      </c>
      <c r="G24" s="43">
        <f>APTS!G24+MIDTOWN!G24+Terrace!G24+Marshall!G24</f>
        <v>0</v>
      </c>
      <c r="H24" s="43">
        <f>APTS!H24+MIDTOWN!H24+Terrace!H24+Marshall!H24</f>
        <v>0</v>
      </c>
      <c r="I24" s="43">
        <f>APTS!I24+MIDTOWN!I24+Terrace!I24+Marshall!I24</f>
        <v>0</v>
      </c>
      <c r="J24" s="43">
        <f>APTS!J24+MIDTOWN!J24+Terrace!J24+Marshall!J24</f>
        <v>0</v>
      </c>
      <c r="K24" s="43">
        <f>APTS!K24+MIDTOWN!K24+Terrace!K24+Marshall!K24</f>
        <v>0</v>
      </c>
      <c r="L24" s="43">
        <f>APTS!L24+MIDTOWN!L24+Terrace!L24+Marshall!L24</f>
        <v>0</v>
      </c>
      <c r="M24" s="43">
        <f>APTS!M24+MIDTOWN!M24+Terrace!M24+Marshall!M24</f>
        <v>0</v>
      </c>
      <c r="N24" s="43">
        <f>APTS!N24+MIDTOWN!N24+Terrace!N24+Marshall!N24</f>
        <v>0</v>
      </c>
      <c r="O24" s="43">
        <f>APTS!O24+MIDTOWN!O24+Terrace!O24+Marshall!O24</f>
        <v>0</v>
      </c>
      <c r="P24" s="43">
        <f t="shared" si="5"/>
        <v>0</v>
      </c>
      <c r="Q24" s="25"/>
      <c r="R24" s="25"/>
    </row>
    <row r="25" spans="1:18" x14ac:dyDescent="0.3">
      <c r="A25" s="26"/>
      <c r="B25" s="26"/>
      <c r="C25" s="25"/>
      <c r="D25" s="43">
        <f>APTS!D25+MIDTOWN!D25+Terrace!D25+Marshall!D25</f>
        <v>0</v>
      </c>
      <c r="E25" s="43">
        <f>APTS!E25+MIDTOWN!E25+Terrace!E25+Marshall!E25</f>
        <v>0</v>
      </c>
      <c r="F25" s="43">
        <f>APTS!F25+MIDTOWN!F25+Terrace!F25+Marshall!F25</f>
        <v>0</v>
      </c>
      <c r="G25" s="43">
        <f>APTS!G25+MIDTOWN!G25+Terrace!G25+Marshall!G25</f>
        <v>0</v>
      </c>
      <c r="H25" s="43">
        <f>APTS!H25+MIDTOWN!H25+Terrace!H25+Marshall!H25</f>
        <v>0</v>
      </c>
      <c r="I25" s="43">
        <f>APTS!I25+MIDTOWN!I25+Terrace!I25+Marshall!I25</f>
        <v>0</v>
      </c>
      <c r="J25" s="43">
        <f>APTS!J25+MIDTOWN!J25+Terrace!J25+Marshall!J25</f>
        <v>0</v>
      </c>
      <c r="K25" s="43">
        <f>APTS!K25+MIDTOWN!K25+Terrace!K25+Marshall!K25</f>
        <v>0</v>
      </c>
      <c r="L25" s="43">
        <f>APTS!L25+MIDTOWN!L25+Terrace!L25+Marshall!L25</f>
        <v>0</v>
      </c>
      <c r="M25" s="43">
        <f>APTS!M25+MIDTOWN!M25+Terrace!M25+Marshall!M25</f>
        <v>0</v>
      </c>
      <c r="N25" s="43">
        <f>APTS!N25+MIDTOWN!N25+Terrace!N25+Marshall!N25</f>
        <v>0</v>
      </c>
      <c r="O25" s="43">
        <f>APTS!O25+MIDTOWN!O25+Terrace!O25+Marshall!O25</f>
        <v>0</v>
      </c>
      <c r="P25" s="43">
        <f t="shared" si="5"/>
        <v>0</v>
      </c>
      <c r="Q25" s="25"/>
      <c r="R25" s="25"/>
    </row>
    <row r="26" spans="1:18" x14ac:dyDescent="0.3">
      <c r="A26" s="194" t="s">
        <v>15</v>
      </c>
      <c r="B26" s="194"/>
      <c r="C26" s="25"/>
      <c r="D26" s="28">
        <f t="shared" ref="D26:I26" si="6">SUM(D20:D25)</f>
        <v>0</v>
      </c>
      <c r="E26" s="28">
        <f t="shared" si="6"/>
        <v>0</v>
      </c>
      <c r="F26" s="28">
        <f t="shared" si="6"/>
        <v>0</v>
      </c>
      <c r="G26" s="28">
        <f t="shared" si="6"/>
        <v>0</v>
      </c>
      <c r="H26" s="28">
        <f t="shared" si="6"/>
        <v>0</v>
      </c>
      <c r="I26" s="28">
        <f t="shared" si="6"/>
        <v>0</v>
      </c>
      <c r="J26" s="28">
        <f t="shared" ref="J26:P26" si="7">SUM(J20:J25)</f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8">
        <f t="shared" si="7"/>
        <v>0</v>
      </c>
      <c r="O26" s="28">
        <f t="shared" si="7"/>
        <v>0</v>
      </c>
      <c r="P26" s="28">
        <f t="shared" si="7"/>
        <v>0</v>
      </c>
      <c r="Q26" s="29">
        <f>SUM(P20:P25)-P26</f>
        <v>0</v>
      </c>
      <c r="R26" s="25"/>
    </row>
    <row r="27" spans="1:18" x14ac:dyDescent="0.3">
      <c r="A27" s="194" t="s">
        <v>16</v>
      </c>
      <c r="B27" s="194"/>
      <c r="C27" s="25"/>
      <c r="D27" s="43"/>
      <c r="E27" s="43"/>
      <c r="F27" s="43"/>
      <c r="G27" s="43"/>
      <c r="H27" s="43"/>
      <c r="I27" s="43"/>
      <c r="J27" s="25"/>
      <c r="K27" s="25"/>
      <c r="L27" s="25"/>
      <c r="M27" s="25"/>
      <c r="N27" s="25"/>
      <c r="O27" s="25"/>
      <c r="P27" s="25"/>
      <c r="Q27" s="25"/>
      <c r="R27" s="25"/>
    </row>
    <row r="28" spans="1:18" x14ac:dyDescent="0.3">
      <c r="A28" s="27" t="s">
        <v>17</v>
      </c>
      <c r="B28" s="27" t="s">
        <v>18</v>
      </c>
      <c r="C28" s="25"/>
      <c r="D28" s="43">
        <f>APTS!D28+MIDTOWN!D28+Terrace!D28+Marshall!D28</f>
        <v>0</v>
      </c>
      <c r="E28" s="43">
        <f>APTS!E28+MIDTOWN!E28+Terrace!E28+Marshall!E28</f>
        <v>0</v>
      </c>
      <c r="F28" s="43">
        <f>APTS!F28+MIDTOWN!F28+Terrace!F28+Marshall!F28</f>
        <v>0</v>
      </c>
      <c r="G28" s="43">
        <f>APTS!G28+MIDTOWN!G28+Terrace!G28+Marshall!G28</f>
        <v>0</v>
      </c>
      <c r="H28" s="43">
        <f>APTS!H28+MIDTOWN!H28+Terrace!H28+Marshall!H28</f>
        <v>0</v>
      </c>
      <c r="I28" s="43">
        <f>APTS!I28+MIDTOWN!I28+Terrace!I28+Marshall!I28</f>
        <v>0</v>
      </c>
      <c r="J28" s="43">
        <f>APTS!J28+MIDTOWN!J28+Terrace!J28+Marshall!J28</f>
        <v>0</v>
      </c>
      <c r="K28" s="43">
        <f>APTS!K28+MIDTOWN!K28+Terrace!K28+Marshall!K28</f>
        <v>0</v>
      </c>
      <c r="L28" s="43">
        <f>APTS!L28+MIDTOWN!L28+Terrace!L28+Marshall!L28</f>
        <v>0</v>
      </c>
      <c r="M28" s="43">
        <f>APTS!M28+MIDTOWN!M28+Terrace!M28+Marshall!M28</f>
        <v>0</v>
      </c>
      <c r="N28" s="43">
        <f>APTS!N28+MIDTOWN!N28+Terrace!N28+Marshall!N28</f>
        <v>0</v>
      </c>
      <c r="O28" s="43">
        <f>APTS!O28+MIDTOWN!O28+Terrace!O28+Marshall!O28</f>
        <v>32179.429300000003</v>
      </c>
      <c r="P28" s="43">
        <f>SUM(D28:O28)</f>
        <v>32179.429300000003</v>
      </c>
      <c r="Q28" s="25"/>
      <c r="R28" s="25"/>
    </row>
    <row r="29" spans="1:18" x14ac:dyDescent="0.3">
      <c r="A29" s="27" t="s">
        <v>17</v>
      </c>
      <c r="B29" s="27" t="s">
        <v>19</v>
      </c>
      <c r="C29" s="25"/>
      <c r="D29" s="43">
        <f>APTS!D29+MIDTOWN!D29+Terrace!D30</f>
        <v>0</v>
      </c>
      <c r="E29" s="43">
        <f>APTS!E29+MIDTOWN!E29+Terrace!E30</f>
        <v>0</v>
      </c>
      <c r="F29" s="43">
        <f>APTS!F29+MIDTOWN!F29+Terrace!F30</f>
        <v>0</v>
      </c>
      <c r="G29" s="43">
        <f>APTS!G29+MIDTOWN!G29+Terrace!G30</f>
        <v>0</v>
      </c>
      <c r="H29" s="43">
        <f>APTS!H29+MIDTOWN!H29+Terrace!H30</f>
        <v>0</v>
      </c>
      <c r="I29" s="43">
        <f>APTS!I29+MIDTOWN!I29+Terrace!I30</f>
        <v>0</v>
      </c>
      <c r="J29" s="43">
        <f>APTS!J29+MIDTOWN!J29+Terrace!J30</f>
        <v>0</v>
      </c>
      <c r="K29" s="43">
        <f>APTS!K29+MIDTOWN!K29+Terrace!K30</f>
        <v>0</v>
      </c>
      <c r="L29" s="43">
        <f>APTS!L29+MIDTOWN!L29+Terrace!L30</f>
        <v>0</v>
      </c>
      <c r="M29" s="43">
        <f>APTS!M29+MIDTOWN!M29+Terrace!M30</f>
        <v>0</v>
      </c>
      <c r="N29" s="43">
        <f>APTS!N29+MIDTOWN!N29+Terrace!N30</f>
        <v>0</v>
      </c>
      <c r="O29" s="43">
        <f>APTS!O29+MIDTOWN!O29+Terrace!O30</f>
        <v>0</v>
      </c>
      <c r="P29" s="25">
        <f>SUM(D29:O29)</f>
        <v>0</v>
      </c>
      <c r="Q29" s="25"/>
      <c r="R29" s="25"/>
    </row>
    <row r="30" spans="1:18" x14ac:dyDescent="0.3">
      <c r="A30" s="27" t="s">
        <v>17</v>
      </c>
      <c r="B30" s="27" t="s">
        <v>20</v>
      </c>
      <c r="C30" s="25"/>
      <c r="D30" s="43">
        <f>APTS!D30+MIDTOWN!D30+Terrace!D31</f>
        <v>0</v>
      </c>
      <c r="E30" s="43">
        <f>APTS!E30+MIDTOWN!E30+Terrace!E31</f>
        <v>0</v>
      </c>
      <c r="F30" s="43">
        <f>APTS!F30+MIDTOWN!F30+Terrace!F31</f>
        <v>0</v>
      </c>
      <c r="G30" s="43">
        <f>APTS!G30+MIDTOWN!G30+Terrace!G31</f>
        <v>0</v>
      </c>
      <c r="H30" s="43">
        <f>APTS!H30+MIDTOWN!H30+Terrace!H31</f>
        <v>0</v>
      </c>
      <c r="I30" s="43">
        <f>APTS!I30+MIDTOWN!I30+Terrace!I31</f>
        <v>0</v>
      </c>
      <c r="J30" s="43">
        <f>APTS!J30+MIDTOWN!J30+Terrace!J31</f>
        <v>0</v>
      </c>
      <c r="K30" s="43">
        <f>APTS!K30+MIDTOWN!K30+Terrace!K31</f>
        <v>0</v>
      </c>
      <c r="L30" s="43">
        <f>APTS!L30+MIDTOWN!L30+Terrace!L31</f>
        <v>0</v>
      </c>
      <c r="M30" s="43">
        <f>APTS!M30+MIDTOWN!M30+Terrace!M31</f>
        <v>0</v>
      </c>
      <c r="N30" s="43">
        <f>APTS!N30+MIDTOWN!N30+Terrace!N31</f>
        <v>0</v>
      </c>
      <c r="O30" s="43">
        <f>APTS!O30+MIDTOWN!O30+Terrace!O31</f>
        <v>0</v>
      </c>
      <c r="P30" s="25">
        <f>SUM(D30:O30)</f>
        <v>0</v>
      </c>
      <c r="Q30" s="25"/>
      <c r="R30" s="25"/>
    </row>
    <row r="31" spans="1:18" x14ac:dyDescent="0.3">
      <c r="A31" s="27" t="s">
        <v>17</v>
      </c>
      <c r="B31" s="27" t="s">
        <v>21</v>
      </c>
      <c r="C31" s="25"/>
      <c r="D31" s="43">
        <f>APTS!D31+MIDTOWN!D31+Terrace!D31</f>
        <v>0</v>
      </c>
      <c r="E31" s="43">
        <f>APTS!E31+MIDTOWN!E31+Terrace!E31</f>
        <v>0</v>
      </c>
      <c r="F31" s="43">
        <f>APTS!F31+MIDTOWN!F31+Terrace!F31</f>
        <v>0</v>
      </c>
      <c r="G31" s="43">
        <f>APTS!G31+MIDTOWN!G31+Terrace!G31</f>
        <v>0</v>
      </c>
      <c r="H31" s="43">
        <f>APTS!H31+MIDTOWN!H31+Terrace!H31</f>
        <v>0</v>
      </c>
      <c r="I31" s="43">
        <f>APTS!I31+MIDTOWN!I31+Terrace!I31</f>
        <v>0</v>
      </c>
      <c r="J31" s="43">
        <f>APTS!J31+MIDTOWN!J31+Terrace!J31</f>
        <v>0</v>
      </c>
      <c r="K31" s="43">
        <f>APTS!K31+MIDTOWN!K31+Terrace!K31</f>
        <v>0</v>
      </c>
      <c r="L31" s="43">
        <f>APTS!L31+MIDTOWN!L31+Terrace!L31</f>
        <v>0</v>
      </c>
      <c r="M31" s="43">
        <f>APTS!M31+MIDTOWN!M31+Terrace!M31</f>
        <v>0</v>
      </c>
      <c r="N31" s="43">
        <f>APTS!N31+MIDTOWN!N31+Terrace!N31</f>
        <v>0</v>
      </c>
      <c r="O31" s="43">
        <f>APTS!O31+MIDTOWN!O31+Terrace!O31</f>
        <v>0</v>
      </c>
      <c r="P31" s="25">
        <f>SUM(D31:O31)</f>
        <v>0</v>
      </c>
      <c r="Q31" s="25"/>
      <c r="R31" s="25"/>
    </row>
    <row r="32" spans="1:18" x14ac:dyDescent="0.3">
      <c r="A32" s="26"/>
      <c r="B32" s="26"/>
      <c r="C32" s="25"/>
      <c r="D32" s="30">
        <f t="shared" ref="D32:I32" si="8">D12+D18+D26+D28+D29+D30+D31</f>
        <v>174343.30993452057</v>
      </c>
      <c r="E32" s="30">
        <f t="shared" si="8"/>
        <v>155214.84445698629</v>
      </c>
      <c r="F32" s="30">
        <f t="shared" si="8"/>
        <v>186610.91993452056</v>
      </c>
      <c r="G32" s="30">
        <f t="shared" si="8"/>
        <v>163451.15477534247</v>
      </c>
      <c r="H32" s="30">
        <f t="shared" si="8"/>
        <v>167569.30993452057</v>
      </c>
      <c r="I32" s="30">
        <f t="shared" si="8"/>
        <v>163452.15477534247</v>
      </c>
      <c r="J32" s="30">
        <f t="shared" ref="J32:P32" si="9">J12+J18+J26+J28+J29+J30+J31</f>
        <v>178784.30993452057</v>
      </c>
      <c r="K32" s="30">
        <f t="shared" si="9"/>
        <v>172101.30993452057</v>
      </c>
      <c r="L32" s="30">
        <f t="shared" si="9"/>
        <v>167983.15477534247</v>
      </c>
      <c r="M32" s="30">
        <f t="shared" si="9"/>
        <v>172101.30993452057</v>
      </c>
      <c r="N32" s="30">
        <f t="shared" si="9"/>
        <v>167983.15477534247</v>
      </c>
      <c r="O32" s="30">
        <f t="shared" si="9"/>
        <v>204311.69676876714</v>
      </c>
      <c r="P32" s="30">
        <f t="shared" si="9"/>
        <v>2073906.6299342469</v>
      </c>
      <c r="Q32" s="29">
        <f>SUM(P28:P31)*P32</f>
        <v>66737131772.77037</v>
      </c>
      <c r="R32" s="25"/>
    </row>
    <row r="33" spans="1:18" x14ac:dyDescent="0.3">
      <c r="A33" s="26"/>
      <c r="B33" s="26"/>
      <c r="C33" s="25"/>
      <c r="D33" s="43"/>
      <c r="E33" s="43"/>
      <c r="F33" s="43"/>
      <c r="G33" s="43"/>
      <c r="H33" s="43"/>
      <c r="I33" s="43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3">
      <c r="A34" s="194" t="s">
        <v>22</v>
      </c>
      <c r="B34" s="194"/>
      <c r="C34" s="25"/>
      <c r="D34" s="43"/>
      <c r="E34" s="43"/>
      <c r="F34" s="43"/>
      <c r="G34" s="43"/>
      <c r="H34" s="43"/>
      <c r="I34" s="43"/>
      <c r="J34" s="25"/>
      <c r="K34" s="25"/>
      <c r="L34" s="25"/>
      <c r="M34" s="25"/>
      <c r="N34" s="25"/>
      <c r="O34" s="25"/>
      <c r="P34" s="25"/>
      <c r="Q34" s="25"/>
      <c r="R34" s="25"/>
    </row>
    <row r="35" spans="1:18" x14ac:dyDescent="0.3">
      <c r="A35" s="26"/>
      <c r="B35" s="27" t="s">
        <v>23</v>
      </c>
      <c r="C35" s="25"/>
      <c r="D35" s="43">
        <f>APTS!D35+MIDTOWN!D35+Terrace!D35+Marshall!D35</f>
        <v>108274.0404</v>
      </c>
      <c r="E35" s="43">
        <f>APTS!E35+MIDTOWN!E35+Terrace!E35+Marshall!E35</f>
        <v>108274.0404</v>
      </c>
      <c r="F35" s="43">
        <f>APTS!F35+MIDTOWN!F35+Terrace!F35+Marshall!F35</f>
        <v>162411.06060000003</v>
      </c>
      <c r="G35" s="43">
        <f>APTS!G35+MIDTOWN!G35+Terrace!G35+Marshall!G35</f>
        <v>108274.0404</v>
      </c>
      <c r="H35" s="43">
        <f>APTS!H35+MIDTOWN!H35+Terrace!H35+Marshall!H35</f>
        <v>108274.0404</v>
      </c>
      <c r="I35" s="43">
        <f>APTS!I35+MIDTOWN!I35+Terrace!I35+Marshall!I35</f>
        <v>108274.0404</v>
      </c>
      <c r="J35" s="43">
        <f>APTS!J35+MIDTOWN!J35+Terrace!J35+Marshall!J35</f>
        <v>108274.0404</v>
      </c>
      <c r="K35" s="43">
        <f>APTS!K35+MIDTOWN!K35+Terrace!K35+Marshall!K35</f>
        <v>162411.06060000003</v>
      </c>
      <c r="L35" s="43">
        <f>APTS!L35+MIDTOWN!L35+Terrace!L35+Marshall!L35</f>
        <v>108274.0404</v>
      </c>
      <c r="M35" s="43">
        <f>APTS!M35+MIDTOWN!M35+Terrace!M35+Marshall!M35</f>
        <v>108274.0404</v>
      </c>
      <c r="N35" s="43">
        <f>APTS!N35+MIDTOWN!N35+Terrace!N35+Marshall!N35</f>
        <v>108274.0404</v>
      </c>
      <c r="O35" s="43">
        <f>APTS!O35+MIDTOWN!O35+Terrace!O35+Marshall!O35</f>
        <v>108274.0404</v>
      </c>
      <c r="P35" s="25">
        <f>SUM(D35:O35)</f>
        <v>1407562.5252000003</v>
      </c>
      <c r="Q35" s="25"/>
      <c r="R35" s="25"/>
    </row>
    <row r="36" spans="1:18" x14ac:dyDescent="0.3">
      <c r="A36" s="26"/>
      <c r="B36" s="27" t="s">
        <v>24</v>
      </c>
      <c r="C36" s="25"/>
      <c r="D36" s="43">
        <f>APTS!D36+MIDTOWN!D36+Terrace!D36+Marshall!D36</f>
        <v>7958.1419693999997</v>
      </c>
      <c r="E36" s="43">
        <f>APTS!E36+MIDTOWN!E36+Terrace!E36+Marshall!E36</f>
        <v>7958.1419693999997</v>
      </c>
      <c r="F36" s="43">
        <f>APTS!F36+MIDTOWN!F36+Terrace!F36+Marshall!F36</f>
        <v>11937.212954099999</v>
      </c>
      <c r="G36" s="43">
        <f>APTS!G36+MIDTOWN!G36+Terrace!G36+Marshall!G36</f>
        <v>7958.1419693999997</v>
      </c>
      <c r="H36" s="43">
        <f>APTS!H36+MIDTOWN!H36+Terrace!H36+Marshall!H36</f>
        <v>7958.1419693999997</v>
      </c>
      <c r="I36" s="43">
        <f>APTS!I36+MIDTOWN!I36+Terrace!I36+Marshall!I36</f>
        <v>7958.1419693999997</v>
      </c>
      <c r="J36" s="43">
        <f>APTS!J36+MIDTOWN!J36+Terrace!J36+Marshall!J36</f>
        <v>7958.1419693999997</v>
      </c>
      <c r="K36" s="43">
        <f>APTS!K36+MIDTOWN!K36+Terrace!K36+Marshall!K36</f>
        <v>11937.212954099999</v>
      </c>
      <c r="L36" s="43">
        <f>APTS!L36+MIDTOWN!L36+Terrace!L36+Marshall!L36</f>
        <v>7958.1419693999997</v>
      </c>
      <c r="M36" s="43">
        <f>APTS!M36+MIDTOWN!M36+Terrace!M36+Marshall!M36</f>
        <v>7958.1419693999997</v>
      </c>
      <c r="N36" s="43">
        <f>APTS!N36+MIDTOWN!N36+Terrace!N36+Marshall!N36</f>
        <v>7958.1419693999997</v>
      </c>
      <c r="O36" s="43">
        <f>APTS!O36+MIDTOWN!O36+Terrace!O36+Marshall!O36</f>
        <v>7958.1419693999997</v>
      </c>
      <c r="P36" s="25">
        <f t="shared" ref="P36:P42" si="10">SUM(D36:O36)</f>
        <v>103455.84560219996</v>
      </c>
      <c r="Q36" s="25"/>
      <c r="R36" s="25"/>
    </row>
    <row r="37" spans="1:18" x14ac:dyDescent="0.3">
      <c r="A37" s="26"/>
      <c r="B37" s="27" t="s">
        <v>25</v>
      </c>
      <c r="C37" s="25"/>
      <c r="D37" s="43">
        <f>APTS!D37+MIDTOWN!D37+Terrace!D37+Marshall!D37</f>
        <v>0</v>
      </c>
      <c r="E37" s="43">
        <f>APTS!E37+MIDTOWN!E37+Terrace!E37+Marshall!E37</f>
        <v>0</v>
      </c>
      <c r="F37" s="43">
        <f>APTS!F37+MIDTOWN!F37+Terrace!F37+Marshall!F37</f>
        <v>0</v>
      </c>
      <c r="G37" s="43">
        <f>APTS!G37+MIDTOWN!G37+Terrace!G37+Marshall!G37</f>
        <v>0</v>
      </c>
      <c r="H37" s="43">
        <f>APTS!H37+MIDTOWN!H37+Terrace!H37+Marshall!H37</f>
        <v>0</v>
      </c>
      <c r="I37" s="43">
        <f>APTS!I37+MIDTOWN!I37+Terrace!I37+Marshall!I37</f>
        <v>0</v>
      </c>
      <c r="J37" s="43">
        <f>APTS!J37+MIDTOWN!J37+Terrace!J37+Marshall!J37</f>
        <v>0</v>
      </c>
      <c r="K37" s="43">
        <f>APTS!K37+MIDTOWN!K37+Terrace!K37+Marshall!K37</f>
        <v>0</v>
      </c>
      <c r="L37" s="43">
        <f>APTS!L37+MIDTOWN!L37+Terrace!L37+Marshall!L37</f>
        <v>0</v>
      </c>
      <c r="M37" s="43">
        <f>APTS!M37+MIDTOWN!M37+Terrace!M37+Marshall!M37</f>
        <v>0</v>
      </c>
      <c r="N37" s="43">
        <f>APTS!N37+MIDTOWN!N37+Terrace!N37+Marshall!N37</f>
        <v>0</v>
      </c>
      <c r="O37" s="43">
        <f>APTS!O37+MIDTOWN!O37+Terrace!O37+Marshall!O37</f>
        <v>0</v>
      </c>
      <c r="P37" s="25">
        <f t="shared" si="10"/>
        <v>0</v>
      </c>
      <c r="Q37" s="25"/>
      <c r="R37" s="25"/>
    </row>
    <row r="38" spans="1:18" x14ac:dyDescent="0.3">
      <c r="A38" s="26"/>
      <c r="B38" s="27" t="s">
        <v>26</v>
      </c>
      <c r="C38" s="25"/>
      <c r="D38" s="43">
        <f>APTS!D38+MIDTOWN!D38+Terrace!D38+Marshall!D38</f>
        <v>13038.359944967999</v>
      </c>
      <c r="E38" s="43">
        <f>APTS!E38+MIDTOWN!E38+Terrace!E38+Marshall!E38</f>
        <v>13038.4682190084</v>
      </c>
      <c r="F38" s="43">
        <f>APTS!F38+MIDTOWN!F38+Terrace!F38+Marshall!F38</f>
        <v>19557.702328512602</v>
      </c>
      <c r="G38" s="43">
        <f>APTS!G38+MIDTOWN!G38+Terrace!G38+Marshall!G38</f>
        <v>13038.4682190084</v>
      </c>
      <c r="H38" s="43">
        <f>APTS!H38+MIDTOWN!H38+Terrace!H38+Marshall!H38</f>
        <v>13038.4682190084</v>
      </c>
      <c r="I38" s="43">
        <f>APTS!I38+MIDTOWN!I38+Terrace!I38+Marshall!I38</f>
        <v>13038.4682190084</v>
      </c>
      <c r="J38" s="43">
        <f>APTS!J38+MIDTOWN!J38+Terrace!J38+Marshall!J38</f>
        <v>13038.4682190084</v>
      </c>
      <c r="K38" s="43">
        <f>APTS!K38+MIDTOWN!K38+Terrace!K38+Marshall!K38</f>
        <v>19557.702328512602</v>
      </c>
      <c r="L38" s="43">
        <f>APTS!L38+MIDTOWN!L38+Terrace!L38+Marshall!L38</f>
        <v>13038.4682190084</v>
      </c>
      <c r="M38" s="43">
        <f>APTS!M38+MIDTOWN!M38+Terrace!M38+Marshall!M38</f>
        <v>13038.4682190084</v>
      </c>
      <c r="N38" s="43">
        <f>APTS!N38+MIDTOWN!N38+Terrace!N38+Marshall!N38</f>
        <v>13038.4682190084</v>
      </c>
      <c r="O38" s="43">
        <f>APTS!O38+MIDTOWN!O38+Terrace!O38+Marshall!O38</f>
        <v>13038.4682190084</v>
      </c>
      <c r="P38" s="25">
        <f t="shared" si="10"/>
        <v>169499.97857306883</v>
      </c>
      <c r="Q38" s="25"/>
      <c r="R38" s="25"/>
    </row>
    <row r="39" spans="1:18" x14ac:dyDescent="0.3">
      <c r="A39" s="26"/>
      <c r="B39" s="27" t="s">
        <v>27</v>
      </c>
      <c r="C39" s="25"/>
      <c r="D39" s="43">
        <f>APTS!D39+MIDTOWN!D39+Terrace!D39+Marshall!D39</f>
        <v>1212.6692524800001</v>
      </c>
      <c r="E39" s="43">
        <f>APTS!E39+MIDTOWN!E39+Terrace!E39+Marshall!E39</f>
        <v>1212.6692524800001</v>
      </c>
      <c r="F39" s="43">
        <f>APTS!F39+MIDTOWN!F39+Terrace!F39+Marshall!F39</f>
        <v>1819.0038787200003</v>
      </c>
      <c r="G39" s="43">
        <f>APTS!G39+MIDTOWN!G39+Terrace!G39+Marshall!G39</f>
        <v>1212.6692524800001</v>
      </c>
      <c r="H39" s="43">
        <f>APTS!H39+MIDTOWN!H39+Terrace!H39+Marshall!H39</f>
        <v>1212.6692524800001</v>
      </c>
      <c r="I39" s="43">
        <f>APTS!I39+MIDTOWN!I39+Terrace!I39+Marshall!I39</f>
        <v>1212.6692524800001</v>
      </c>
      <c r="J39" s="43">
        <f>APTS!J39+MIDTOWN!J39+Terrace!J39+Marshall!J39</f>
        <v>1212.6692524800001</v>
      </c>
      <c r="K39" s="43">
        <f>APTS!K39+MIDTOWN!K39+Terrace!K39+Marshall!K39</f>
        <v>1819.0038787200003</v>
      </c>
      <c r="L39" s="43">
        <f>APTS!L39+MIDTOWN!L39+Terrace!L39+Marshall!L39</f>
        <v>1212.6692524800001</v>
      </c>
      <c r="M39" s="43">
        <f>APTS!M39+MIDTOWN!M39+Terrace!M39+Marshall!M39</f>
        <v>1212.6692524800001</v>
      </c>
      <c r="N39" s="43">
        <f>APTS!N39+MIDTOWN!N39+Terrace!N39+Marshall!N39</f>
        <v>1212.6692524800001</v>
      </c>
      <c r="O39" s="43">
        <f>APTS!O39+MIDTOWN!O39+Terrace!O39+Marshall!O39</f>
        <v>1212.6692524800001</v>
      </c>
      <c r="P39" s="25">
        <f t="shared" si="10"/>
        <v>15764.700282240001</v>
      </c>
      <c r="Q39" s="25"/>
      <c r="R39" s="25"/>
    </row>
    <row r="40" spans="1:18" x14ac:dyDescent="0.3">
      <c r="A40" s="26"/>
      <c r="B40" s="27" t="s">
        <v>28</v>
      </c>
      <c r="C40" s="25"/>
      <c r="D40" s="43">
        <f>APTS!D40+MIDTOWN!D40+Terrace!D40+Marshall!D40</f>
        <v>3031.6731312000002</v>
      </c>
      <c r="E40" s="43">
        <f>APTS!E40+MIDTOWN!E40+Terrace!E40+Marshall!E40</f>
        <v>3031.6731312000002</v>
      </c>
      <c r="F40" s="43">
        <f>APTS!F40+MIDTOWN!F40+Terrace!F40+Marshall!F40</f>
        <v>4547.5096967999998</v>
      </c>
      <c r="G40" s="43">
        <f>APTS!G40+MIDTOWN!G40+Terrace!G40+Marshall!G40</f>
        <v>3031.6731312000002</v>
      </c>
      <c r="H40" s="43">
        <f>APTS!H40+MIDTOWN!H40+Terrace!H40+Marshall!H40</f>
        <v>3031.6731312000002</v>
      </c>
      <c r="I40" s="43">
        <f>APTS!I40+MIDTOWN!I40+Terrace!I40+Marshall!I40</f>
        <v>3031.6731312000002</v>
      </c>
      <c r="J40" s="43">
        <f>APTS!J40+MIDTOWN!J40+Terrace!J40+Marshall!J40</f>
        <v>3031.6731312000002</v>
      </c>
      <c r="K40" s="43">
        <f>APTS!K40+MIDTOWN!K40+Terrace!K40+Marshall!K40</f>
        <v>4547.5096967999998</v>
      </c>
      <c r="L40" s="43">
        <f>APTS!L40+MIDTOWN!L40+Terrace!L40+Marshall!L40</f>
        <v>3031.6731312000002</v>
      </c>
      <c r="M40" s="43">
        <f>APTS!M40+MIDTOWN!M40+Terrace!M40+Marshall!M40</f>
        <v>3031.6731312000002</v>
      </c>
      <c r="N40" s="43">
        <f>APTS!N40+MIDTOWN!N40+Terrace!N40+Marshall!N40</f>
        <v>3031.6731312000002</v>
      </c>
      <c r="O40" s="43">
        <f>APTS!O40+MIDTOWN!O40+Terrace!O40+Marshall!O40</f>
        <v>3031.6731312000002</v>
      </c>
      <c r="P40" s="25">
        <f t="shared" si="10"/>
        <v>39411.750705599996</v>
      </c>
      <c r="Q40" s="25"/>
      <c r="R40" s="25"/>
    </row>
    <row r="41" spans="1:18" x14ac:dyDescent="0.3">
      <c r="A41" s="26"/>
      <c r="B41" s="27" t="s">
        <v>29</v>
      </c>
      <c r="C41" s="25"/>
      <c r="D41" s="43">
        <f>APTS!D41+MIDTOWN!D41+Terrace!D41+Marshall!D41</f>
        <v>1486.602574692</v>
      </c>
      <c r="E41" s="43">
        <f>APTS!E41+MIDTOWN!E41+Terrace!E41+Marshall!E41</f>
        <v>1486.602574692</v>
      </c>
      <c r="F41" s="43">
        <f>APTS!F41+MIDTOWN!F41+Terrace!F41+Marshall!F41</f>
        <v>2229.9038620379997</v>
      </c>
      <c r="G41" s="43">
        <f>APTS!G41+MIDTOWN!G41+Terrace!G41+Marshall!G41</f>
        <v>1486.602574692</v>
      </c>
      <c r="H41" s="43">
        <f>APTS!H41+MIDTOWN!H41+Terrace!H41+Marshall!H41</f>
        <v>1486.602574692</v>
      </c>
      <c r="I41" s="43">
        <f>APTS!I41+MIDTOWN!I41+Terrace!I41+Marshall!I41</f>
        <v>1486.602574692</v>
      </c>
      <c r="J41" s="43">
        <f>APTS!J41+MIDTOWN!J41+Terrace!J41+Marshall!J41</f>
        <v>1486.602574692</v>
      </c>
      <c r="K41" s="43">
        <f>APTS!K41+MIDTOWN!K41+Terrace!K41+Marshall!K41</f>
        <v>2229.9038620379997</v>
      </c>
      <c r="L41" s="43">
        <f>APTS!L41+MIDTOWN!L41+Terrace!L41+Marshall!L41</f>
        <v>1486.602574692</v>
      </c>
      <c r="M41" s="43">
        <f>APTS!M41+MIDTOWN!M41+Terrace!M41+Marshall!M41</f>
        <v>1486.602574692</v>
      </c>
      <c r="N41" s="43">
        <f>APTS!N41+MIDTOWN!N41+Terrace!N41+Marshall!N41</f>
        <v>1486.602574692</v>
      </c>
      <c r="O41" s="43">
        <f>APTS!O41+MIDTOWN!O41+Terrace!O41+Marshall!O41</f>
        <v>1486.602574692</v>
      </c>
      <c r="P41" s="25">
        <f t="shared" si="10"/>
        <v>19325.833470996</v>
      </c>
      <c r="Q41" s="25"/>
      <c r="R41" s="25"/>
    </row>
    <row r="42" spans="1:18" x14ac:dyDescent="0.3">
      <c r="A42" s="26"/>
      <c r="B42" s="27" t="s">
        <v>30</v>
      </c>
      <c r="C42" s="25"/>
      <c r="D42" s="43">
        <f>APTS!D42+MIDTOWN!D42+Terrace!D42+Marshall!D42</f>
        <v>0</v>
      </c>
      <c r="E42" s="43">
        <f>APTS!E42+MIDTOWN!E42+Terrace!E42+Marshall!E42</f>
        <v>0</v>
      </c>
      <c r="F42" s="43">
        <f>APTS!F42+MIDTOWN!F42+Terrace!F42+Marshall!F42</f>
        <v>0</v>
      </c>
      <c r="G42" s="43">
        <f>APTS!G42+MIDTOWN!G42+Terrace!G42+Marshall!G42</f>
        <v>0</v>
      </c>
      <c r="H42" s="43">
        <f>APTS!H42+MIDTOWN!H42+Terrace!H42+Marshall!H42</f>
        <v>0</v>
      </c>
      <c r="I42" s="43">
        <f>APTS!I42+MIDTOWN!I42+Terrace!I42+Marshall!I42</f>
        <v>0</v>
      </c>
      <c r="J42" s="43">
        <f>APTS!J42+MIDTOWN!J42+Terrace!J42+Marshall!J42</f>
        <v>0</v>
      </c>
      <c r="K42" s="43">
        <f>APTS!K42+MIDTOWN!K42+Terrace!K42+Marshall!K42</f>
        <v>0</v>
      </c>
      <c r="L42" s="43">
        <f>APTS!L42+MIDTOWN!L42+Terrace!L42+Marshall!L42</f>
        <v>0</v>
      </c>
      <c r="M42" s="43">
        <f>APTS!M42+MIDTOWN!M42+Terrace!M42+Marshall!M42</f>
        <v>0</v>
      </c>
      <c r="N42" s="43">
        <f>APTS!N42+MIDTOWN!N42+Terrace!N42+Marshall!N42</f>
        <v>0</v>
      </c>
      <c r="O42" s="43">
        <f>APTS!O42+MIDTOWN!O42+Terrace!O42+Marshall!O42</f>
        <v>0</v>
      </c>
      <c r="P42" s="25">
        <f t="shared" si="10"/>
        <v>0</v>
      </c>
      <c r="Q42" s="25"/>
      <c r="R42" s="25"/>
    </row>
    <row r="43" spans="1:18" x14ac:dyDescent="0.3">
      <c r="A43" s="194" t="s">
        <v>31</v>
      </c>
      <c r="B43" s="194"/>
      <c r="C43" s="25"/>
      <c r="D43" s="28">
        <f t="shared" ref="D43:I43" si="11">SUM(D35:D42)</f>
        <v>135001.48727273999</v>
      </c>
      <c r="E43" s="28">
        <f t="shared" si="11"/>
        <v>135001.59554678039</v>
      </c>
      <c r="F43" s="28">
        <f t="shared" si="11"/>
        <v>202502.39332017058</v>
      </c>
      <c r="G43" s="28">
        <f t="shared" si="11"/>
        <v>135001.59554678039</v>
      </c>
      <c r="H43" s="28">
        <f t="shared" si="11"/>
        <v>135001.59554678039</v>
      </c>
      <c r="I43" s="28">
        <f t="shared" si="11"/>
        <v>135001.59554678039</v>
      </c>
      <c r="J43" s="28">
        <f t="shared" ref="J43:P43" si="12">SUM(J35:J42)</f>
        <v>135001.59554678039</v>
      </c>
      <c r="K43" s="28">
        <f t="shared" si="12"/>
        <v>202502.39332017058</v>
      </c>
      <c r="L43" s="28">
        <f t="shared" si="12"/>
        <v>135001.59554678039</v>
      </c>
      <c r="M43" s="28">
        <f t="shared" si="12"/>
        <v>135001.59554678039</v>
      </c>
      <c r="N43" s="28">
        <f t="shared" si="12"/>
        <v>135001.59554678039</v>
      </c>
      <c r="O43" s="28">
        <f t="shared" si="12"/>
        <v>135001.59554678039</v>
      </c>
      <c r="P43" s="28">
        <f t="shared" si="12"/>
        <v>1755020.633834105</v>
      </c>
      <c r="Q43" s="29">
        <f>SUM(P35:P42)</f>
        <v>1755020.633834105</v>
      </c>
      <c r="R43" s="25"/>
    </row>
    <row r="44" spans="1:18" x14ac:dyDescent="0.3">
      <c r="A44" s="194" t="s">
        <v>32</v>
      </c>
      <c r="B44" s="194"/>
      <c r="C44" s="25"/>
      <c r="D44" s="43"/>
      <c r="E44" s="43"/>
      <c r="F44" s="43"/>
      <c r="G44" s="43"/>
      <c r="H44" s="43"/>
      <c r="I44" s="43"/>
      <c r="J44" s="25"/>
      <c r="K44" s="25"/>
      <c r="L44" s="25"/>
      <c r="M44" s="25"/>
      <c r="N44" s="25"/>
      <c r="O44" s="25"/>
      <c r="P44" s="25"/>
      <c r="Q44" s="25"/>
      <c r="R44" s="25"/>
    </row>
    <row r="45" spans="1:18" x14ac:dyDescent="0.3">
      <c r="A45" s="26"/>
      <c r="B45" s="27" t="s">
        <v>33</v>
      </c>
      <c r="C45" s="25"/>
      <c r="D45" s="43">
        <f>APTS!D45+MIDTOWN!D45+Terrace!D45+Marshall!D45</f>
        <v>0</v>
      </c>
      <c r="E45" s="43">
        <f>APTS!E45+MIDTOWN!E45+Terrace!E45+Marshall!E45</f>
        <v>0</v>
      </c>
      <c r="F45" s="43">
        <f>APTS!F45+MIDTOWN!F45+Terrace!F45+Marshall!F45</f>
        <v>0</v>
      </c>
      <c r="G45" s="43">
        <f>APTS!G45+MIDTOWN!G45+Terrace!G45+Marshall!G45</f>
        <v>0</v>
      </c>
      <c r="H45" s="43">
        <f>APTS!H45+MIDTOWN!H45+Terrace!H45+Marshall!H45</f>
        <v>0</v>
      </c>
      <c r="I45" s="43">
        <f>APTS!I45+MIDTOWN!I45+Terrace!I45+Marshall!I45</f>
        <v>0</v>
      </c>
      <c r="J45" s="43">
        <f>APTS!J45+MIDTOWN!J45+Terrace!J45+Marshall!J45</f>
        <v>0</v>
      </c>
      <c r="K45" s="43">
        <f>APTS!K45+MIDTOWN!K45+Terrace!K45+Marshall!K45</f>
        <v>0</v>
      </c>
      <c r="L45" s="43">
        <f>APTS!L45+MIDTOWN!L45+Terrace!L45+Marshall!L45</f>
        <v>0</v>
      </c>
      <c r="M45" s="43">
        <f>APTS!M45+MIDTOWN!M45+Terrace!M45+Marshall!M45</f>
        <v>0</v>
      </c>
      <c r="N45" s="43">
        <f>APTS!N45+MIDTOWN!N45+Terrace!N45+Marshall!N45</f>
        <v>0</v>
      </c>
      <c r="O45" s="43">
        <f>APTS!O45+MIDTOWN!O45+Terrace!O45+Marshall!O45</f>
        <v>0</v>
      </c>
      <c r="P45" s="43">
        <f t="shared" ref="P45:P52" si="13">SUM(D45:O45)</f>
        <v>0</v>
      </c>
      <c r="Q45" s="25"/>
      <c r="R45" s="25"/>
    </row>
    <row r="46" spans="1:18" x14ac:dyDescent="0.3">
      <c r="A46" s="26"/>
      <c r="B46" s="27" t="s">
        <v>34</v>
      </c>
      <c r="C46" s="25"/>
      <c r="D46" s="43">
        <f>APTS!D46+MIDTOWN!D46+Terrace!D46+Marshall!D46</f>
        <v>550</v>
      </c>
      <c r="E46" s="43">
        <f>APTS!E46+MIDTOWN!E46+Terrace!E46+Marshall!E46</f>
        <v>550</v>
      </c>
      <c r="F46" s="43">
        <f>APTS!F46+MIDTOWN!F46+Terrace!F46+Marshall!F46</f>
        <v>550</v>
      </c>
      <c r="G46" s="43">
        <f>APTS!G46+MIDTOWN!G46+Terrace!G46+Marshall!G46</f>
        <v>550</v>
      </c>
      <c r="H46" s="43">
        <f>APTS!H46+MIDTOWN!H46+Terrace!H46+Marshall!H46</f>
        <v>550</v>
      </c>
      <c r="I46" s="43">
        <f>APTS!I46+MIDTOWN!I46+Terrace!I46+Marshall!I46</f>
        <v>550</v>
      </c>
      <c r="J46" s="43">
        <f>APTS!J46+MIDTOWN!J46+Terrace!J46+Marshall!J46</f>
        <v>550</v>
      </c>
      <c r="K46" s="43">
        <f>APTS!K46+MIDTOWN!K46+Terrace!K46+Marshall!K46</f>
        <v>550</v>
      </c>
      <c r="L46" s="43">
        <f>APTS!L46+MIDTOWN!L46+Terrace!L46+Marshall!L46</f>
        <v>550</v>
      </c>
      <c r="M46" s="43">
        <f>APTS!M46+MIDTOWN!M46+Terrace!M46+Marshall!M46</f>
        <v>550</v>
      </c>
      <c r="N46" s="43">
        <f>APTS!N46+MIDTOWN!N46+Terrace!N46+Marshall!N46</f>
        <v>550</v>
      </c>
      <c r="O46" s="43">
        <f>APTS!O46+MIDTOWN!O46+Terrace!O46+Marshall!O46</f>
        <v>550</v>
      </c>
      <c r="P46" s="43">
        <f t="shared" si="13"/>
        <v>6600</v>
      </c>
      <c r="Q46" s="25"/>
      <c r="R46" s="25"/>
    </row>
    <row r="47" spans="1:18" x14ac:dyDescent="0.3">
      <c r="A47" s="26"/>
      <c r="B47" s="27" t="s">
        <v>35</v>
      </c>
      <c r="C47" s="25"/>
      <c r="D47" s="43">
        <f>APTS!D47+MIDTOWN!D47+Terrace!D47+Marshall!D47</f>
        <v>678</v>
      </c>
      <c r="E47" s="43">
        <f>APTS!E47+MIDTOWN!E47+Terrace!E47+Marshall!E47</f>
        <v>678</v>
      </c>
      <c r="F47" s="43">
        <f>APTS!F47+MIDTOWN!F47+Terrace!F47+Marshall!F47</f>
        <v>678</v>
      </c>
      <c r="G47" s="43">
        <f>APTS!G47+MIDTOWN!G47+Terrace!G47+Marshall!G47</f>
        <v>678</v>
      </c>
      <c r="H47" s="43">
        <f>APTS!H47+MIDTOWN!H47+Terrace!H47+Marshall!H47</f>
        <v>678</v>
      </c>
      <c r="I47" s="43">
        <f>APTS!I47+MIDTOWN!I47+Terrace!I47+Marshall!I47</f>
        <v>678</v>
      </c>
      <c r="J47" s="43">
        <f>APTS!J47+MIDTOWN!J47+Terrace!J47+Marshall!J47</f>
        <v>678</v>
      </c>
      <c r="K47" s="43">
        <f>APTS!K47+MIDTOWN!K47+Terrace!K47+Marshall!K47</f>
        <v>678</v>
      </c>
      <c r="L47" s="43">
        <f>APTS!L47+MIDTOWN!L47+Terrace!L47+Marshall!L47</f>
        <v>678</v>
      </c>
      <c r="M47" s="43">
        <f>APTS!M47+MIDTOWN!M47+Terrace!M47+Marshall!M47</f>
        <v>678</v>
      </c>
      <c r="N47" s="43">
        <f>APTS!N47+MIDTOWN!N47+Terrace!N47+Marshall!N47</f>
        <v>678</v>
      </c>
      <c r="O47" s="43">
        <f>APTS!O47+MIDTOWN!O47+Terrace!O47+Marshall!O47</f>
        <v>678</v>
      </c>
      <c r="P47" s="43">
        <f t="shared" si="13"/>
        <v>8136</v>
      </c>
      <c r="Q47" s="25"/>
      <c r="R47" s="25"/>
    </row>
    <row r="48" spans="1:18" x14ac:dyDescent="0.3">
      <c r="A48" s="26"/>
      <c r="B48" s="27" t="s">
        <v>36</v>
      </c>
      <c r="C48" s="25"/>
      <c r="D48" s="43">
        <f>APTS!D48+MIDTOWN!D48+Terrace!D48+Marshall!D48</f>
        <v>275</v>
      </c>
      <c r="E48" s="43">
        <f>APTS!E48+MIDTOWN!E48+Terrace!E48+Marshall!E48</f>
        <v>275</v>
      </c>
      <c r="F48" s="43">
        <f>APTS!F48+MIDTOWN!F48+Terrace!F48+Marshall!F48</f>
        <v>275</v>
      </c>
      <c r="G48" s="43">
        <f>APTS!G48+MIDTOWN!G48+Terrace!G48+Marshall!G48</f>
        <v>275</v>
      </c>
      <c r="H48" s="43">
        <f>APTS!H48+MIDTOWN!H48+Terrace!H48+Marshall!H48</f>
        <v>275</v>
      </c>
      <c r="I48" s="43">
        <f>APTS!I48+MIDTOWN!I48+Terrace!I48+Marshall!I48</f>
        <v>275</v>
      </c>
      <c r="J48" s="43">
        <f>APTS!J48+MIDTOWN!J48+Terrace!J48+Marshall!J48</f>
        <v>275</v>
      </c>
      <c r="K48" s="43">
        <f>APTS!K48+MIDTOWN!K48+Terrace!K48+Marshall!K48</f>
        <v>275</v>
      </c>
      <c r="L48" s="43">
        <f>APTS!L48+MIDTOWN!L48+Terrace!L48+Marshall!L48</f>
        <v>275</v>
      </c>
      <c r="M48" s="43">
        <f>APTS!M48+MIDTOWN!M48+Terrace!M48+Marshall!M48</f>
        <v>275</v>
      </c>
      <c r="N48" s="43">
        <f>APTS!N48+MIDTOWN!N48+Terrace!N48+Marshall!N48</f>
        <v>275</v>
      </c>
      <c r="O48" s="43">
        <f>APTS!O48+MIDTOWN!O48+Terrace!O48+Marshall!O48</f>
        <v>275</v>
      </c>
      <c r="P48" s="43">
        <f t="shared" si="13"/>
        <v>3300</v>
      </c>
      <c r="Q48" s="25"/>
      <c r="R48" s="25"/>
    </row>
    <row r="49" spans="1:18" x14ac:dyDescent="0.3">
      <c r="A49" s="26"/>
      <c r="B49" s="27" t="s">
        <v>37</v>
      </c>
      <c r="C49" s="25"/>
      <c r="D49" s="43">
        <f>APTS!D49+MIDTOWN!D49+Terrace!D49+Marshall!D49</f>
        <v>195</v>
      </c>
      <c r="E49" s="43">
        <f>APTS!E49+MIDTOWN!E49+Terrace!E49+Marshall!E49</f>
        <v>195</v>
      </c>
      <c r="F49" s="43">
        <f>APTS!F49+MIDTOWN!F49+Terrace!F49+Marshall!F49</f>
        <v>195</v>
      </c>
      <c r="G49" s="43">
        <f>APTS!G49+MIDTOWN!G49+Terrace!G49+Marshall!G49</f>
        <v>195</v>
      </c>
      <c r="H49" s="43">
        <f>APTS!H49+MIDTOWN!H49+Terrace!H49+Marshall!H49</f>
        <v>195</v>
      </c>
      <c r="I49" s="43">
        <f>APTS!I49+MIDTOWN!I49+Terrace!I49+Marshall!I49</f>
        <v>195</v>
      </c>
      <c r="J49" s="43">
        <f>APTS!J49+MIDTOWN!J49+Terrace!J49+Marshall!J49</f>
        <v>195</v>
      </c>
      <c r="K49" s="43">
        <f>APTS!K49+MIDTOWN!K49+Terrace!K49+Marshall!K49</f>
        <v>195</v>
      </c>
      <c r="L49" s="43">
        <f>APTS!L49+MIDTOWN!L49+Terrace!L49+Marshall!L49</f>
        <v>195</v>
      </c>
      <c r="M49" s="43">
        <f>APTS!M49+MIDTOWN!M49+Terrace!M49+Marshall!M49</f>
        <v>195</v>
      </c>
      <c r="N49" s="43">
        <f>APTS!N49+MIDTOWN!N49+Terrace!N49+Marshall!N49</f>
        <v>195</v>
      </c>
      <c r="O49" s="43">
        <f>APTS!O49+MIDTOWN!O49+Terrace!O49+Marshall!O49</f>
        <v>195</v>
      </c>
      <c r="P49" s="43">
        <f t="shared" si="13"/>
        <v>2340</v>
      </c>
      <c r="Q49" s="25"/>
      <c r="R49" s="25"/>
    </row>
    <row r="50" spans="1:18" s="42" customFormat="1" x14ac:dyDescent="0.3">
      <c r="A50" s="26"/>
      <c r="B50" s="92" t="s">
        <v>194</v>
      </c>
      <c r="C50" s="43"/>
      <c r="D50" s="43">
        <f>APTS!D50+MIDTOWN!D50+Terrace!D50+Marshall!D50</f>
        <v>1000</v>
      </c>
      <c r="E50" s="43">
        <f>APTS!E50+MIDTOWN!E50+Terrace!E50+Marshall!E50</f>
        <v>1000</v>
      </c>
      <c r="F50" s="43">
        <f>APTS!F50+MIDTOWN!F50+Terrace!F50+Marshall!F50</f>
        <v>1000</v>
      </c>
      <c r="G50" s="43">
        <f>APTS!G50+MIDTOWN!G50+Terrace!G50+Marshall!G50</f>
        <v>1000</v>
      </c>
      <c r="H50" s="43">
        <f>APTS!H50+MIDTOWN!H50+Terrace!H50+Marshall!H50</f>
        <v>1000</v>
      </c>
      <c r="I50" s="43">
        <f>APTS!I50+MIDTOWN!I50+Terrace!I50+Marshall!I50</f>
        <v>1000</v>
      </c>
      <c r="J50" s="43">
        <f>APTS!J50+MIDTOWN!J50+Terrace!J50+Marshall!J50</f>
        <v>1000</v>
      </c>
      <c r="K50" s="43">
        <f>APTS!K50+MIDTOWN!K50+Terrace!K50+Marshall!K50</f>
        <v>1000</v>
      </c>
      <c r="L50" s="43">
        <f>APTS!L50+MIDTOWN!L50+Terrace!L50+Marshall!L50</f>
        <v>1000</v>
      </c>
      <c r="M50" s="43">
        <f>APTS!M50+MIDTOWN!M50+Terrace!M50+Marshall!M50</f>
        <v>1000</v>
      </c>
      <c r="N50" s="43">
        <f>APTS!N50+MIDTOWN!N50+Terrace!N50+Marshall!N50</f>
        <v>1000</v>
      </c>
      <c r="O50" s="43">
        <f>APTS!O50+MIDTOWN!O50+Terrace!O50+Marshall!O50</f>
        <v>1000</v>
      </c>
      <c r="P50" s="43">
        <f t="shared" si="13"/>
        <v>12000</v>
      </c>
      <c r="Q50" s="43"/>
      <c r="R50" s="43"/>
    </row>
    <row r="51" spans="1:18" x14ac:dyDescent="0.3">
      <c r="A51" s="26"/>
      <c r="B51" s="27" t="s">
        <v>38</v>
      </c>
      <c r="C51" s="25"/>
      <c r="D51" s="43">
        <f>APTS!D51+MIDTOWN!D51+Terrace!D51+Marshall!D51</f>
        <v>864</v>
      </c>
      <c r="E51" s="43">
        <f>APTS!E51+MIDTOWN!E51+Terrace!E51+Marshall!E51</f>
        <v>864</v>
      </c>
      <c r="F51" s="43">
        <f>APTS!F51+MIDTOWN!F51+Terrace!F51+Marshall!F51</f>
        <v>864</v>
      </c>
      <c r="G51" s="43">
        <f>APTS!G51+MIDTOWN!G51+Terrace!G51+Marshall!G51</f>
        <v>864</v>
      </c>
      <c r="H51" s="43">
        <f>APTS!H51+MIDTOWN!H51+Terrace!H51+Marshall!H51</f>
        <v>864</v>
      </c>
      <c r="I51" s="43">
        <f>APTS!I51+MIDTOWN!I51+Terrace!I51+Marshall!I51</f>
        <v>864</v>
      </c>
      <c r="J51" s="43">
        <f>APTS!J51+MIDTOWN!J51+Terrace!J51+Marshall!J51</f>
        <v>864</v>
      </c>
      <c r="K51" s="43">
        <f>APTS!K51+MIDTOWN!K51+Terrace!K51+Marshall!K51</f>
        <v>864</v>
      </c>
      <c r="L51" s="43">
        <f>APTS!L51+MIDTOWN!L51+Terrace!L51+Marshall!L51</f>
        <v>864</v>
      </c>
      <c r="M51" s="43">
        <f>APTS!M51+MIDTOWN!M51+Terrace!M51+Marshall!M51</f>
        <v>864</v>
      </c>
      <c r="N51" s="43">
        <f>APTS!N51+MIDTOWN!N51+Terrace!N51+Marshall!N51</f>
        <v>864</v>
      </c>
      <c r="O51" s="43">
        <f>APTS!O51+MIDTOWN!O51+Terrace!O51+Marshall!O51</f>
        <v>864</v>
      </c>
      <c r="P51" s="43">
        <f t="shared" si="13"/>
        <v>10368</v>
      </c>
      <c r="Q51" s="25"/>
      <c r="R51" s="25"/>
    </row>
    <row r="52" spans="1:18" x14ac:dyDescent="0.3">
      <c r="A52" s="26"/>
      <c r="B52" s="27" t="s">
        <v>39</v>
      </c>
      <c r="C52" s="25"/>
      <c r="D52" s="43">
        <f>APTS!D52+MIDTOWN!D52+Terrace!D52+Marshall!D52</f>
        <v>1050</v>
      </c>
      <c r="E52" s="43">
        <f>APTS!E52+MIDTOWN!E52+Terrace!E52+Marshall!E52</f>
        <v>1050</v>
      </c>
      <c r="F52" s="43">
        <f>APTS!F52+MIDTOWN!F52+Terrace!F52+Marshall!F52</f>
        <v>1050</v>
      </c>
      <c r="G52" s="43">
        <f>APTS!G52+MIDTOWN!G52+Terrace!G52+Marshall!G52</f>
        <v>1050</v>
      </c>
      <c r="H52" s="43">
        <f>APTS!H52+MIDTOWN!H52+Terrace!H52+Marshall!H52</f>
        <v>1050</v>
      </c>
      <c r="I52" s="43">
        <f>APTS!I52+MIDTOWN!I52+Terrace!I52+Marshall!I52</f>
        <v>1050</v>
      </c>
      <c r="J52" s="43">
        <f>APTS!J52+MIDTOWN!J52+Terrace!J52+Marshall!J52</f>
        <v>1050</v>
      </c>
      <c r="K52" s="43">
        <f>APTS!K52+MIDTOWN!K52+Terrace!K52+Marshall!K52</f>
        <v>1050</v>
      </c>
      <c r="L52" s="43">
        <f>APTS!L52+MIDTOWN!L52+Terrace!L52+Marshall!L52</f>
        <v>1050</v>
      </c>
      <c r="M52" s="43">
        <f>APTS!M52+MIDTOWN!M52+Terrace!M52+Marshall!M52</f>
        <v>1050</v>
      </c>
      <c r="N52" s="43">
        <f>APTS!N52+MIDTOWN!N52+Terrace!N52+Marshall!N52</f>
        <v>1050</v>
      </c>
      <c r="O52" s="43">
        <f>APTS!O52+MIDTOWN!O52+Terrace!O52+Marshall!O52</f>
        <v>1050</v>
      </c>
      <c r="P52" s="43">
        <f t="shared" si="13"/>
        <v>12600</v>
      </c>
      <c r="Q52" s="25"/>
      <c r="R52" s="25"/>
    </row>
    <row r="53" spans="1:18" x14ac:dyDescent="0.3">
      <c r="A53" s="194" t="s">
        <v>40</v>
      </c>
      <c r="B53" s="194"/>
      <c r="C53" s="25"/>
      <c r="D53" s="28">
        <f t="shared" ref="D53:I53" si="14">SUM(D45:D52)</f>
        <v>4612</v>
      </c>
      <c r="E53" s="28">
        <f t="shared" si="14"/>
        <v>4612</v>
      </c>
      <c r="F53" s="28">
        <f t="shared" si="14"/>
        <v>4612</v>
      </c>
      <c r="G53" s="28">
        <f t="shared" si="14"/>
        <v>4612</v>
      </c>
      <c r="H53" s="28">
        <f t="shared" si="14"/>
        <v>4612</v>
      </c>
      <c r="I53" s="28">
        <f t="shared" si="14"/>
        <v>4612</v>
      </c>
      <c r="J53" s="28">
        <f t="shared" ref="J53:P53" si="15">SUM(J45:J52)</f>
        <v>4612</v>
      </c>
      <c r="K53" s="28">
        <f t="shared" si="15"/>
        <v>4612</v>
      </c>
      <c r="L53" s="28">
        <f t="shared" si="15"/>
        <v>4612</v>
      </c>
      <c r="M53" s="28">
        <f t="shared" si="15"/>
        <v>4612</v>
      </c>
      <c r="N53" s="28">
        <f t="shared" si="15"/>
        <v>4612</v>
      </c>
      <c r="O53" s="28">
        <f t="shared" si="15"/>
        <v>4612</v>
      </c>
      <c r="P53" s="28">
        <f t="shared" si="15"/>
        <v>55344</v>
      </c>
      <c r="Q53" s="29">
        <f>SUM(P52)-P53</f>
        <v>-42744</v>
      </c>
      <c r="R53" s="25"/>
    </row>
    <row r="54" spans="1:18" x14ac:dyDescent="0.3">
      <c r="A54" s="194" t="s">
        <v>41</v>
      </c>
      <c r="B54" s="194"/>
      <c r="C54" s="25"/>
      <c r="D54" s="43"/>
      <c r="E54" s="43"/>
      <c r="F54" s="43"/>
      <c r="G54" s="43"/>
      <c r="H54" s="43"/>
      <c r="I54" s="43"/>
      <c r="J54" s="25"/>
      <c r="K54" s="25"/>
      <c r="L54" s="25"/>
      <c r="M54" s="25"/>
      <c r="N54" s="25"/>
      <c r="O54" s="25"/>
      <c r="P54" s="25"/>
      <c r="Q54" s="25"/>
      <c r="R54" s="25"/>
    </row>
    <row r="55" spans="1:18" x14ac:dyDescent="0.3">
      <c r="A55" s="26"/>
      <c r="B55" s="27" t="s">
        <v>42</v>
      </c>
      <c r="C55" s="25"/>
      <c r="D55" s="43">
        <f>APTS!D55+MIDTOWN!D55+Terrace!D55+Marshall!D55</f>
        <v>0</v>
      </c>
      <c r="E55" s="43">
        <f>APTS!E55+MIDTOWN!E55+Terrace!E55+Marshall!E55</f>
        <v>0</v>
      </c>
      <c r="F55" s="43">
        <f>APTS!F55+MIDTOWN!F55+Terrace!F55+Marshall!F55</f>
        <v>0</v>
      </c>
      <c r="G55" s="43">
        <f>APTS!G55+MIDTOWN!G55+Terrace!G55+Marshall!G55</f>
        <v>0</v>
      </c>
      <c r="H55" s="43">
        <f>APTS!H55+MIDTOWN!H55+Terrace!H55+Marshall!H55</f>
        <v>0</v>
      </c>
      <c r="I55" s="43">
        <f>APTS!I55+MIDTOWN!I55+Terrace!I55+Marshall!I55</f>
        <v>0</v>
      </c>
      <c r="J55" s="43">
        <f>APTS!J55+MIDTOWN!J55+Terrace!J55+Marshall!J55</f>
        <v>0</v>
      </c>
      <c r="K55" s="43">
        <f>APTS!K55+MIDTOWN!K55+Terrace!K55+Marshall!K55</f>
        <v>0</v>
      </c>
      <c r="L55" s="43">
        <f>APTS!L55+MIDTOWN!L55+Terrace!L55+Marshall!L55</f>
        <v>0</v>
      </c>
      <c r="M55" s="43">
        <f>APTS!M55+MIDTOWN!M55+Terrace!M55+Marshall!M55</f>
        <v>0</v>
      </c>
      <c r="N55" s="43">
        <f>APTS!N55+MIDTOWN!N55+Terrace!N55+Marshall!N55</f>
        <v>0</v>
      </c>
      <c r="O55" s="43">
        <f>APTS!O55+MIDTOWN!O55+Terrace!O55+Marshall!O55</f>
        <v>0</v>
      </c>
      <c r="P55" s="25">
        <f t="shared" ref="P55:P83" si="16">SUM(D55:O55)</f>
        <v>0</v>
      </c>
      <c r="Q55" s="25"/>
      <c r="R55" s="25"/>
    </row>
    <row r="56" spans="1:18" x14ac:dyDescent="0.3">
      <c r="A56" s="26"/>
      <c r="B56" s="27" t="s">
        <v>43</v>
      </c>
      <c r="C56" s="25"/>
      <c r="D56" s="43">
        <f>APTS!D56+MIDTOWN!D56+Terrace!D56+Marshall!D56</f>
        <v>2700</v>
      </c>
      <c r="E56" s="43">
        <f>APTS!E56+MIDTOWN!E56+Terrace!E56+Marshall!E56</f>
        <v>0</v>
      </c>
      <c r="F56" s="43">
        <f>APTS!F56+MIDTOWN!F56+Terrace!F56+Marshall!F56</f>
        <v>0</v>
      </c>
      <c r="G56" s="43">
        <f>APTS!G56+MIDTOWN!G56+Terrace!G56+Marshall!G56</f>
        <v>0</v>
      </c>
      <c r="H56" s="43">
        <f>APTS!H56+MIDTOWN!H56+Terrace!H56+Marshall!H56</f>
        <v>0</v>
      </c>
      <c r="I56" s="43">
        <f>APTS!I56+MIDTOWN!I56+Terrace!I56+Marshall!I56</f>
        <v>0</v>
      </c>
      <c r="J56" s="43">
        <f>APTS!J56+MIDTOWN!J56+Terrace!J56+Marshall!J56</f>
        <v>0</v>
      </c>
      <c r="K56" s="43">
        <f>APTS!K56+MIDTOWN!K56+Terrace!K56+Marshall!K56</f>
        <v>0</v>
      </c>
      <c r="L56" s="43">
        <f>APTS!L56+MIDTOWN!L56+Terrace!L56+Marshall!L56</f>
        <v>0</v>
      </c>
      <c r="M56" s="43">
        <f>APTS!M56+MIDTOWN!M56+Terrace!M56+Marshall!M56</f>
        <v>0</v>
      </c>
      <c r="N56" s="43">
        <f>APTS!N56+MIDTOWN!N56+Terrace!N56+Marshall!N56</f>
        <v>0</v>
      </c>
      <c r="O56" s="43">
        <f>APTS!O56+MIDTOWN!O56+Terrace!O56+Marshall!O56</f>
        <v>0</v>
      </c>
      <c r="P56" s="25">
        <f t="shared" si="16"/>
        <v>2700</v>
      </c>
      <c r="Q56" s="25"/>
      <c r="R56" s="25"/>
    </row>
    <row r="57" spans="1:18" x14ac:dyDescent="0.3">
      <c r="A57" s="26"/>
      <c r="B57" s="27" t="s">
        <v>44</v>
      </c>
      <c r="C57" s="25"/>
      <c r="D57" s="43">
        <f>APTS!D57+MIDTOWN!D57+Terrace!D57+Marshall!D57</f>
        <v>425</v>
      </c>
      <c r="E57" s="43">
        <f>APTS!E57+MIDTOWN!E57+Terrace!E57+Marshall!E57</f>
        <v>425</v>
      </c>
      <c r="F57" s="43">
        <f>APTS!F57+MIDTOWN!F57+Terrace!F57+Marshall!F57</f>
        <v>425</v>
      </c>
      <c r="G57" s="43">
        <f>APTS!G57+MIDTOWN!G57+Terrace!G57+Marshall!G57</f>
        <v>425</v>
      </c>
      <c r="H57" s="43">
        <f>APTS!H57+MIDTOWN!H57+Terrace!H57+Marshall!H57</f>
        <v>425</v>
      </c>
      <c r="I57" s="43">
        <f>APTS!I57+MIDTOWN!I57+Terrace!I57+Marshall!I57</f>
        <v>425</v>
      </c>
      <c r="J57" s="43">
        <f>APTS!J57+MIDTOWN!J57+Terrace!J57+Marshall!J57</f>
        <v>425</v>
      </c>
      <c r="K57" s="43">
        <f>APTS!K57+MIDTOWN!K57+Terrace!K57+Marshall!K57</f>
        <v>425</v>
      </c>
      <c r="L57" s="43">
        <f>APTS!L57+MIDTOWN!L57+Terrace!L57+Marshall!L57</f>
        <v>425</v>
      </c>
      <c r="M57" s="43">
        <f>APTS!M57+MIDTOWN!M57+Terrace!M57+Marshall!M57</f>
        <v>425</v>
      </c>
      <c r="N57" s="43">
        <f>APTS!N57+MIDTOWN!N57+Terrace!N57+Marshall!N57</f>
        <v>425</v>
      </c>
      <c r="O57" s="43">
        <f>APTS!O57+MIDTOWN!O57+Terrace!O57+Marshall!O57</f>
        <v>425</v>
      </c>
      <c r="P57" s="25">
        <f t="shared" si="16"/>
        <v>5100</v>
      </c>
      <c r="Q57" s="25"/>
      <c r="R57" s="25"/>
    </row>
    <row r="58" spans="1:18" x14ac:dyDescent="0.3">
      <c r="A58" s="26"/>
      <c r="B58" s="27" t="s">
        <v>45</v>
      </c>
      <c r="C58" s="25"/>
      <c r="D58" s="43">
        <f>APTS!D58+MIDTOWN!D58+Terrace!D58+Marshall!D58</f>
        <v>200</v>
      </c>
      <c r="E58" s="43">
        <f>APTS!E58+MIDTOWN!E58+Terrace!E58+Marshall!E58</f>
        <v>200</v>
      </c>
      <c r="F58" s="43">
        <f>APTS!F58+MIDTOWN!F58+Terrace!F58+Marshall!F58</f>
        <v>200</v>
      </c>
      <c r="G58" s="43">
        <f>APTS!G58+MIDTOWN!G58+Terrace!G58+Marshall!G58</f>
        <v>200</v>
      </c>
      <c r="H58" s="43">
        <f>APTS!H58+MIDTOWN!H58+Terrace!H58+Marshall!H58</f>
        <v>200</v>
      </c>
      <c r="I58" s="43">
        <f>APTS!I58+MIDTOWN!I58+Terrace!I58+Marshall!I58</f>
        <v>200</v>
      </c>
      <c r="J58" s="43">
        <f>APTS!J58+MIDTOWN!J58+Terrace!J58+Marshall!J58</f>
        <v>200</v>
      </c>
      <c r="K58" s="43">
        <f>APTS!K58+MIDTOWN!K58+Terrace!K58+Marshall!K58</f>
        <v>200</v>
      </c>
      <c r="L58" s="43">
        <f>APTS!L58+MIDTOWN!L58+Terrace!L58+Marshall!L58</f>
        <v>200</v>
      </c>
      <c r="M58" s="43">
        <f>APTS!M58+MIDTOWN!M58+Terrace!M58+Marshall!M58</f>
        <v>200</v>
      </c>
      <c r="N58" s="43">
        <f>APTS!N58+MIDTOWN!N58+Terrace!N58+Marshall!N58</f>
        <v>200</v>
      </c>
      <c r="O58" s="43">
        <f>APTS!O58+MIDTOWN!O58+Terrace!O58+Marshall!O58</f>
        <v>200</v>
      </c>
      <c r="P58" s="25">
        <f t="shared" si="16"/>
        <v>2400</v>
      </c>
      <c r="Q58" s="25"/>
      <c r="R58" s="25"/>
    </row>
    <row r="59" spans="1:18" x14ac:dyDescent="0.3">
      <c r="A59" s="26"/>
      <c r="B59" s="27" t="s">
        <v>46</v>
      </c>
      <c r="C59" s="25"/>
      <c r="D59" s="43">
        <f>APTS!D59+MIDTOWN!D59+Terrace!D59+Marshall!D59</f>
        <v>0</v>
      </c>
      <c r="E59" s="43">
        <f>APTS!E59+MIDTOWN!E59+Terrace!E59+Marshall!E59</f>
        <v>0</v>
      </c>
      <c r="F59" s="43">
        <f>APTS!F59+MIDTOWN!F59+Terrace!F59+Marshall!F59</f>
        <v>0</v>
      </c>
      <c r="G59" s="43">
        <f>APTS!G59+MIDTOWN!G59+Terrace!G59+Marshall!G59</f>
        <v>0</v>
      </c>
      <c r="H59" s="43">
        <f>APTS!H59+MIDTOWN!H59+Terrace!H59+Marshall!H59</f>
        <v>0</v>
      </c>
      <c r="I59" s="43">
        <f>APTS!I59+MIDTOWN!I59+Terrace!I59+Marshall!I59</f>
        <v>0</v>
      </c>
      <c r="J59" s="43">
        <f>APTS!J59+MIDTOWN!J59+Terrace!J59+Marshall!J59</f>
        <v>0</v>
      </c>
      <c r="K59" s="43">
        <f>APTS!K59+MIDTOWN!K59+Terrace!K59+Marshall!K59</f>
        <v>0</v>
      </c>
      <c r="L59" s="43">
        <f>APTS!L59+MIDTOWN!L59+Terrace!L59+Marshall!L59</f>
        <v>0</v>
      </c>
      <c r="M59" s="43">
        <f>APTS!M59+MIDTOWN!M59+Terrace!M59+Marshall!M59</f>
        <v>0</v>
      </c>
      <c r="N59" s="43">
        <f>APTS!N59+MIDTOWN!N59+Terrace!N59+Marshall!N59</f>
        <v>0</v>
      </c>
      <c r="O59" s="43">
        <f>APTS!O59+MIDTOWN!O59+Terrace!O59+Marshall!O59</f>
        <v>0</v>
      </c>
      <c r="P59" s="25">
        <f t="shared" si="16"/>
        <v>0</v>
      </c>
      <c r="Q59" s="25"/>
      <c r="R59" s="25"/>
    </row>
    <row r="60" spans="1:18" x14ac:dyDescent="0.3">
      <c r="A60" s="26"/>
      <c r="B60" s="27" t="s">
        <v>47</v>
      </c>
      <c r="C60" s="25"/>
      <c r="D60" s="43">
        <f>APTS!D60+MIDTOWN!D60+Terrace!D60+Marshall!D60</f>
        <v>0</v>
      </c>
      <c r="E60" s="43">
        <f>APTS!E60+MIDTOWN!E60+Terrace!E60+Marshall!E60</f>
        <v>0</v>
      </c>
      <c r="F60" s="43">
        <f>APTS!F60+MIDTOWN!F60+Terrace!F60+Marshall!F60</f>
        <v>0</v>
      </c>
      <c r="G60" s="43">
        <f>APTS!G60+MIDTOWN!G60+Terrace!G60+Marshall!G60</f>
        <v>0</v>
      </c>
      <c r="H60" s="43">
        <f>APTS!H60+MIDTOWN!H60+Terrace!H60+Marshall!H60</f>
        <v>0</v>
      </c>
      <c r="I60" s="43">
        <f>APTS!I60+MIDTOWN!I60+Terrace!I60+Marshall!I60</f>
        <v>0</v>
      </c>
      <c r="J60" s="43">
        <f>APTS!J60+MIDTOWN!J60+Terrace!J60+Marshall!J60</f>
        <v>0</v>
      </c>
      <c r="K60" s="43">
        <f>APTS!K60+MIDTOWN!K60+Terrace!K60+Marshall!K60</f>
        <v>0</v>
      </c>
      <c r="L60" s="43">
        <f>APTS!L60+MIDTOWN!L60+Terrace!L60+Marshall!L60</f>
        <v>0</v>
      </c>
      <c r="M60" s="43">
        <f>APTS!M60+MIDTOWN!M60+Terrace!M60+Marshall!M60</f>
        <v>0</v>
      </c>
      <c r="N60" s="43">
        <f>APTS!N60+MIDTOWN!N60+Terrace!N60+Marshall!N60</f>
        <v>0</v>
      </c>
      <c r="O60" s="43">
        <f>APTS!O60+MIDTOWN!O60+Terrace!O60+Marshall!O60</f>
        <v>0</v>
      </c>
      <c r="P60" s="25">
        <f t="shared" si="16"/>
        <v>0</v>
      </c>
      <c r="Q60" s="25"/>
      <c r="R60" s="25"/>
    </row>
    <row r="61" spans="1:18" x14ac:dyDescent="0.3">
      <c r="A61" s="26"/>
      <c r="B61" s="27" t="s">
        <v>48</v>
      </c>
      <c r="C61" s="25"/>
      <c r="D61" s="43">
        <f>APTS!D61+MIDTOWN!D61+Terrace!D61+Marshall!D61</f>
        <v>0</v>
      </c>
      <c r="E61" s="43">
        <f>APTS!E61+MIDTOWN!E61+Terrace!E61+Marshall!E61</f>
        <v>0</v>
      </c>
      <c r="F61" s="43">
        <f>APTS!F61+MIDTOWN!F61+Terrace!F61+Marshall!F61</f>
        <v>0</v>
      </c>
      <c r="G61" s="43">
        <f>APTS!G61+MIDTOWN!G61+Terrace!G61+Marshall!G61</f>
        <v>0</v>
      </c>
      <c r="H61" s="43">
        <f>APTS!H61+MIDTOWN!H61+Terrace!H61+Marshall!H61</f>
        <v>0</v>
      </c>
      <c r="I61" s="43">
        <f>APTS!I61+MIDTOWN!I61+Terrace!I61+Marshall!I61</f>
        <v>0</v>
      </c>
      <c r="J61" s="43">
        <f>APTS!J61+MIDTOWN!J61+Terrace!J61+Marshall!J61</f>
        <v>0</v>
      </c>
      <c r="K61" s="43">
        <f>APTS!K61+MIDTOWN!K61+Terrace!K61+Marshall!K61</f>
        <v>0</v>
      </c>
      <c r="L61" s="43">
        <f>APTS!L61+MIDTOWN!L61+Terrace!L61+Marshall!L61</f>
        <v>0</v>
      </c>
      <c r="M61" s="43">
        <f>APTS!M61+MIDTOWN!M61+Terrace!M61+Marshall!M61</f>
        <v>0</v>
      </c>
      <c r="N61" s="43">
        <f>APTS!N61+MIDTOWN!N61+Terrace!N61+Marshall!N61</f>
        <v>0</v>
      </c>
      <c r="O61" s="43">
        <f>APTS!O61+MIDTOWN!O61+Terrace!O61+Marshall!O61</f>
        <v>0</v>
      </c>
      <c r="P61" s="25">
        <f t="shared" si="16"/>
        <v>0</v>
      </c>
      <c r="Q61" s="25"/>
      <c r="R61" s="25"/>
    </row>
    <row r="62" spans="1:18" x14ac:dyDescent="0.3">
      <c r="A62" s="26"/>
      <c r="B62" s="27" t="s">
        <v>49</v>
      </c>
      <c r="C62" s="25"/>
      <c r="D62" s="43">
        <f>APTS!D62+MIDTOWN!D62+Terrace!D62+Marshall!D62</f>
        <v>0</v>
      </c>
      <c r="E62" s="43">
        <f>APTS!E62+MIDTOWN!E62+Terrace!E62+Marshall!E62</f>
        <v>0</v>
      </c>
      <c r="F62" s="43">
        <f>APTS!F62+MIDTOWN!F62+Terrace!F62+Marshall!F62</f>
        <v>0</v>
      </c>
      <c r="G62" s="43">
        <f>APTS!G62+MIDTOWN!G62+Terrace!G62+Marshall!G62</f>
        <v>0</v>
      </c>
      <c r="H62" s="43">
        <f>APTS!H62+MIDTOWN!H62+Terrace!H62+Marshall!H62</f>
        <v>0</v>
      </c>
      <c r="I62" s="43">
        <f>APTS!I62+MIDTOWN!I62+Terrace!I62+Marshall!I62</f>
        <v>0</v>
      </c>
      <c r="J62" s="43">
        <f>APTS!J62+MIDTOWN!J62+Terrace!J62+Marshall!J62</f>
        <v>0</v>
      </c>
      <c r="K62" s="43">
        <f>APTS!K62+MIDTOWN!K62+Terrace!K62+Marshall!K62</f>
        <v>0</v>
      </c>
      <c r="L62" s="43">
        <f>APTS!L62+MIDTOWN!L62+Terrace!L62+Marshall!L62</f>
        <v>0</v>
      </c>
      <c r="M62" s="43">
        <f>APTS!M62+MIDTOWN!M62+Terrace!M62+Marshall!M62</f>
        <v>0</v>
      </c>
      <c r="N62" s="43">
        <f>APTS!N62+MIDTOWN!N62+Terrace!N62+Marshall!N62</f>
        <v>0</v>
      </c>
      <c r="O62" s="43">
        <f>APTS!O62+MIDTOWN!O62+Terrace!O62+Marshall!O62</f>
        <v>0</v>
      </c>
      <c r="P62" s="25">
        <f t="shared" si="16"/>
        <v>0</v>
      </c>
      <c r="Q62" s="25"/>
      <c r="R62" s="25"/>
    </row>
    <row r="63" spans="1:18" x14ac:dyDescent="0.3">
      <c r="A63" s="26"/>
      <c r="B63" s="27" t="s">
        <v>50</v>
      </c>
      <c r="C63" s="25"/>
      <c r="D63" s="43">
        <f>APTS!D63+MIDTOWN!D63+Terrace!D63+Marshall!D63</f>
        <v>0</v>
      </c>
      <c r="E63" s="43">
        <f>APTS!E63+MIDTOWN!E63+Terrace!E63+Marshall!E63</f>
        <v>0</v>
      </c>
      <c r="F63" s="43">
        <f>APTS!F63+MIDTOWN!F63+Terrace!F63+Marshall!F63</f>
        <v>0</v>
      </c>
      <c r="G63" s="43">
        <f>APTS!G63+MIDTOWN!G63+Terrace!G63+Marshall!G63</f>
        <v>0</v>
      </c>
      <c r="H63" s="43">
        <f>APTS!H63+MIDTOWN!H63+Terrace!H63+Marshall!H63</f>
        <v>0</v>
      </c>
      <c r="I63" s="43">
        <f>APTS!I63+MIDTOWN!I63+Terrace!I63+Marshall!I63</f>
        <v>0</v>
      </c>
      <c r="J63" s="43">
        <f>APTS!J63+MIDTOWN!J63+Terrace!J63+Marshall!J63</f>
        <v>0</v>
      </c>
      <c r="K63" s="43">
        <f>APTS!K63+MIDTOWN!K63+Terrace!K63+Marshall!K63</f>
        <v>0</v>
      </c>
      <c r="L63" s="43">
        <f>APTS!L63+MIDTOWN!L63+Terrace!L63+Marshall!L63</f>
        <v>0</v>
      </c>
      <c r="M63" s="43">
        <f>APTS!M63+MIDTOWN!M63+Terrace!M63+Marshall!M63</f>
        <v>0</v>
      </c>
      <c r="N63" s="43">
        <f>APTS!N63+MIDTOWN!N63+Terrace!N63+Marshall!N63</f>
        <v>0</v>
      </c>
      <c r="O63" s="43">
        <f>APTS!O63+MIDTOWN!O63+Terrace!O63+Marshall!O63</f>
        <v>0</v>
      </c>
      <c r="P63" s="25">
        <f t="shared" si="16"/>
        <v>0</v>
      </c>
      <c r="Q63" s="25"/>
      <c r="R63" s="25"/>
    </row>
    <row r="64" spans="1:18" x14ac:dyDescent="0.3">
      <c r="A64" s="26"/>
      <c r="B64" s="27" t="s">
        <v>51</v>
      </c>
      <c r="C64" s="25"/>
      <c r="D64" s="43">
        <f>APTS!D64+MIDTOWN!D64+Terrace!D64+Marshall!D64</f>
        <v>0</v>
      </c>
      <c r="E64" s="43">
        <f>APTS!E64+MIDTOWN!E64+Terrace!E64+Marshall!E64</f>
        <v>0</v>
      </c>
      <c r="F64" s="43">
        <f>APTS!F64+MIDTOWN!F64+Terrace!F64+Marshall!F64</f>
        <v>0</v>
      </c>
      <c r="G64" s="43">
        <f>APTS!G64+MIDTOWN!G64+Terrace!G64+Marshall!G64</f>
        <v>0</v>
      </c>
      <c r="H64" s="43">
        <f>APTS!H64+MIDTOWN!H64+Terrace!H64+Marshall!H64</f>
        <v>0</v>
      </c>
      <c r="I64" s="43">
        <f>APTS!I64+MIDTOWN!I64+Terrace!I64+Marshall!I64</f>
        <v>0</v>
      </c>
      <c r="J64" s="43">
        <f>APTS!J64+MIDTOWN!J64+Terrace!J64+Marshall!J64</f>
        <v>0</v>
      </c>
      <c r="K64" s="43">
        <f>APTS!K64+MIDTOWN!K64+Terrace!K64+Marshall!K64</f>
        <v>0</v>
      </c>
      <c r="L64" s="43">
        <f>APTS!L64+MIDTOWN!L64+Terrace!L64+Marshall!L64</f>
        <v>0</v>
      </c>
      <c r="M64" s="43">
        <f>APTS!M64+MIDTOWN!M64+Terrace!M64+Marshall!M64</f>
        <v>0</v>
      </c>
      <c r="N64" s="43">
        <f>APTS!N64+MIDTOWN!N64+Terrace!N64+Marshall!N64</f>
        <v>0</v>
      </c>
      <c r="O64" s="43">
        <f>APTS!O64+MIDTOWN!O64+Terrace!O64+Marshall!O64</f>
        <v>0</v>
      </c>
      <c r="P64" s="25">
        <f t="shared" si="16"/>
        <v>0</v>
      </c>
      <c r="Q64" s="25"/>
      <c r="R64" s="25"/>
    </row>
    <row r="65" spans="1:18" x14ac:dyDescent="0.3">
      <c r="A65" s="26"/>
      <c r="B65" s="27" t="s">
        <v>52</v>
      </c>
      <c r="C65" s="25"/>
      <c r="D65" s="43">
        <f>APTS!D65+MIDTOWN!D65+Terrace!D65+Marshall!D65</f>
        <v>0</v>
      </c>
      <c r="E65" s="43">
        <f>APTS!E65+MIDTOWN!E65+Terrace!E65+Marshall!E65</f>
        <v>0</v>
      </c>
      <c r="F65" s="43">
        <f>APTS!F65+MIDTOWN!F65+Terrace!F65+Marshall!F65</f>
        <v>0</v>
      </c>
      <c r="G65" s="43">
        <f>APTS!G65+MIDTOWN!G65+Terrace!G65+Marshall!G65</f>
        <v>0</v>
      </c>
      <c r="H65" s="43">
        <f>APTS!H65+MIDTOWN!H65+Terrace!H65+Marshall!H65</f>
        <v>0</v>
      </c>
      <c r="I65" s="43">
        <f>APTS!I65+MIDTOWN!I65+Terrace!I65+Marshall!I65</f>
        <v>0</v>
      </c>
      <c r="J65" s="43">
        <f>APTS!J65+MIDTOWN!J65+Terrace!J65+Marshall!J65</f>
        <v>0</v>
      </c>
      <c r="K65" s="43">
        <f>APTS!K65+MIDTOWN!K65+Terrace!K65+Marshall!K65</f>
        <v>0</v>
      </c>
      <c r="L65" s="43">
        <f>APTS!L65+MIDTOWN!L65+Terrace!L65+Marshall!L65</f>
        <v>0</v>
      </c>
      <c r="M65" s="43">
        <f>APTS!M65+MIDTOWN!M65+Terrace!M65+Marshall!M65</f>
        <v>0</v>
      </c>
      <c r="N65" s="43">
        <f>APTS!N65+MIDTOWN!N65+Terrace!N65+Marshall!N65</f>
        <v>0</v>
      </c>
      <c r="O65" s="43">
        <f>APTS!O65+MIDTOWN!O65+Terrace!O65+Marshall!O65</f>
        <v>0</v>
      </c>
      <c r="P65" s="25">
        <f t="shared" si="16"/>
        <v>0</v>
      </c>
      <c r="Q65" s="25"/>
      <c r="R65" s="25"/>
    </row>
    <row r="66" spans="1:18" x14ac:dyDescent="0.3">
      <c r="A66" s="26"/>
      <c r="B66" s="27" t="s">
        <v>53</v>
      </c>
      <c r="C66" s="25"/>
      <c r="D66" s="43">
        <f>APTS!D66+MIDTOWN!D66+Terrace!D66+Marshall!D66</f>
        <v>365</v>
      </c>
      <c r="E66" s="43">
        <f>APTS!E66+MIDTOWN!E66+Terrace!E66+Marshall!E66</f>
        <v>365</v>
      </c>
      <c r="F66" s="43">
        <f>APTS!F66+MIDTOWN!F66+Terrace!F66+Marshall!F66</f>
        <v>365</v>
      </c>
      <c r="G66" s="43">
        <f>APTS!G66+MIDTOWN!G66+Terrace!G66+Marshall!G66</f>
        <v>365</v>
      </c>
      <c r="H66" s="43">
        <f>APTS!H66+MIDTOWN!H66+Terrace!H66+Marshall!H66</f>
        <v>365</v>
      </c>
      <c r="I66" s="43">
        <f>APTS!I66+MIDTOWN!I66+Terrace!I66+Marshall!I66</f>
        <v>365</v>
      </c>
      <c r="J66" s="43">
        <f>APTS!J66+MIDTOWN!J66+Terrace!J66+Marshall!J66</f>
        <v>365</v>
      </c>
      <c r="K66" s="43">
        <f>APTS!K66+MIDTOWN!K66+Terrace!K66+Marshall!K66</f>
        <v>365</v>
      </c>
      <c r="L66" s="43">
        <f>APTS!L66+MIDTOWN!L66+Terrace!L66+Marshall!L66</f>
        <v>365</v>
      </c>
      <c r="M66" s="43">
        <f>APTS!M66+MIDTOWN!M66+Terrace!M66+Marshall!M66</f>
        <v>365</v>
      </c>
      <c r="N66" s="43">
        <f>APTS!N66+MIDTOWN!N66+Terrace!N66+Marshall!N66</f>
        <v>365</v>
      </c>
      <c r="O66" s="43">
        <f>APTS!O66+MIDTOWN!O66+Terrace!O66+Marshall!O66</f>
        <v>365</v>
      </c>
      <c r="P66" s="25">
        <f t="shared" si="16"/>
        <v>4380</v>
      </c>
      <c r="Q66" s="25"/>
      <c r="R66" s="25"/>
    </row>
    <row r="67" spans="1:18" x14ac:dyDescent="0.3">
      <c r="A67" s="26"/>
      <c r="B67" s="27" t="s">
        <v>54</v>
      </c>
      <c r="C67" s="25"/>
      <c r="D67" s="43">
        <f>APTS!D67+MIDTOWN!D67+Terrace!D67+Marshall!D67</f>
        <v>522</v>
      </c>
      <c r="E67" s="43">
        <f>APTS!E67+MIDTOWN!E67+Terrace!E67+Marshall!E67</f>
        <v>522</v>
      </c>
      <c r="F67" s="43">
        <f>APTS!F67+MIDTOWN!F67+Terrace!F67+Marshall!F67</f>
        <v>821</v>
      </c>
      <c r="G67" s="43">
        <f>APTS!G67+MIDTOWN!G67+Terrace!G67+Marshall!G67</f>
        <v>522</v>
      </c>
      <c r="H67" s="43">
        <f>APTS!H67+MIDTOWN!H67+Terrace!H67+Marshall!H67</f>
        <v>522</v>
      </c>
      <c r="I67" s="43">
        <f>APTS!I67+MIDTOWN!I67+Terrace!I67+Marshall!I67</f>
        <v>821</v>
      </c>
      <c r="J67" s="43">
        <f>APTS!J67+MIDTOWN!J67+Terrace!J67+Marshall!J67</f>
        <v>522</v>
      </c>
      <c r="K67" s="43">
        <f>APTS!K67+MIDTOWN!K67+Terrace!K67+Marshall!K67</f>
        <v>522</v>
      </c>
      <c r="L67" s="43">
        <f>APTS!L67+MIDTOWN!L67+Terrace!L67+Marshall!L67</f>
        <v>821</v>
      </c>
      <c r="M67" s="43">
        <f>APTS!M67+MIDTOWN!M67+Terrace!M67+Marshall!M67</f>
        <v>522</v>
      </c>
      <c r="N67" s="43">
        <f>APTS!N67+MIDTOWN!N67+Terrace!N67+Marshall!N67</f>
        <v>522</v>
      </c>
      <c r="O67" s="43">
        <f>APTS!O67+MIDTOWN!O67+Terrace!O67+Marshall!O67</f>
        <v>821</v>
      </c>
      <c r="P67" s="25">
        <f t="shared" si="16"/>
        <v>7460</v>
      </c>
      <c r="Q67" s="25"/>
      <c r="R67" s="25"/>
    </row>
    <row r="68" spans="1:18" x14ac:dyDescent="0.3">
      <c r="A68" s="26"/>
      <c r="B68" s="27" t="s">
        <v>55</v>
      </c>
      <c r="C68" s="25"/>
      <c r="D68" s="43">
        <f>APTS!D68+MIDTOWN!D68+Terrace!D68+Marshall!D68</f>
        <v>0</v>
      </c>
      <c r="E68" s="43">
        <f>APTS!E68+MIDTOWN!E68+Terrace!E68+Marshall!E68</f>
        <v>0</v>
      </c>
      <c r="F68" s="43">
        <f>APTS!F68+MIDTOWN!F68+Terrace!F68+Marshall!F68</f>
        <v>0</v>
      </c>
      <c r="G68" s="43">
        <f>APTS!G68+MIDTOWN!G68+Terrace!G68+Marshall!G68</f>
        <v>0</v>
      </c>
      <c r="H68" s="43">
        <f>APTS!H68+MIDTOWN!H68+Terrace!H68+Marshall!H68</f>
        <v>0</v>
      </c>
      <c r="I68" s="43">
        <f>APTS!I68+MIDTOWN!I68+Terrace!I68+Marshall!I68</f>
        <v>0</v>
      </c>
      <c r="J68" s="43">
        <f>APTS!J68+MIDTOWN!J68+Terrace!J68+Marshall!J68</f>
        <v>0</v>
      </c>
      <c r="K68" s="43">
        <f>APTS!K68+MIDTOWN!K68+Terrace!K68+Marshall!K68</f>
        <v>0</v>
      </c>
      <c r="L68" s="43">
        <f>APTS!L68+MIDTOWN!L68+Terrace!L68+Marshall!L68</f>
        <v>0</v>
      </c>
      <c r="M68" s="43">
        <f>APTS!M68+MIDTOWN!M68+Terrace!M68+Marshall!M68</f>
        <v>0</v>
      </c>
      <c r="N68" s="43">
        <f>APTS!N68+MIDTOWN!N68+Terrace!N68+Marshall!N68</f>
        <v>0</v>
      </c>
      <c r="O68" s="43">
        <f>APTS!O68+MIDTOWN!O68+Terrace!O68+Marshall!O68</f>
        <v>0</v>
      </c>
      <c r="P68" s="25">
        <f t="shared" si="16"/>
        <v>0</v>
      </c>
      <c r="Q68" s="25"/>
      <c r="R68" s="25"/>
    </row>
    <row r="69" spans="1:18" x14ac:dyDescent="0.3">
      <c r="A69" s="26"/>
      <c r="B69" s="27" t="s">
        <v>56</v>
      </c>
      <c r="C69" s="25"/>
      <c r="D69" s="43">
        <f>APTS!D69+MIDTOWN!D69+Terrace!D69+Marshall!D69</f>
        <v>0</v>
      </c>
      <c r="E69" s="43">
        <f>APTS!E69+MIDTOWN!E69+Terrace!E69+Marshall!E69</f>
        <v>0</v>
      </c>
      <c r="F69" s="43">
        <f>APTS!F69+MIDTOWN!F69+Terrace!F69+Marshall!F69</f>
        <v>0</v>
      </c>
      <c r="G69" s="43">
        <f>APTS!G69+MIDTOWN!G69+Terrace!G69+Marshall!G69</f>
        <v>0</v>
      </c>
      <c r="H69" s="43">
        <f>APTS!H69+MIDTOWN!H69+Terrace!H69+Marshall!H69</f>
        <v>0</v>
      </c>
      <c r="I69" s="43">
        <f>APTS!I69+MIDTOWN!I69+Terrace!I69+Marshall!I69</f>
        <v>0</v>
      </c>
      <c r="J69" s="43">
        <f>APTS!J69+MIDTOWN!J69+Terrace!J69+Marshall!J69</f>
        <v>0</v>
      </c>
      <c r="K69" s="43">
        <f>APTS!K69+MIDTOWN!K69+Terrace!K69+Marshall!K69</f>
        <v>0</v>
      </c>
      <c r="L69" s="43">
        <f>APTS!L69+MIDTOWN!L69+Terrace!L69+Marshall!L69</f>
        <v>0</v>
      </c>
      <c r="M69" s="43">
        <f>APTS!M69+MIDTOWN!M69+Terrace!M69+Marshall!M69</f>
        <v>0</v>
      </c>
      <c r="N69" s="43">
        <f>APTS!N69+MIDTOWN!N69+Terrace!N69+Marshall!N69</f>
        <v>0</v>
      </c>
      <c r="O69" s="43">
        <f>APTS!O69+MIDTOWN!O69+Terrace!O69+Marshall!O69</f>
        <v>0</v>
      </c>
      <c r="P69" s="25">
        <f t="shared" si="16"/>
        <v>0</v>
      </c>
      <c r="Q69" s="25"/>
      <c r="R69" s="25"/>
    </row>
    <row r="70" spans="1:18" x14ac:dyDescent="0.3">
      <c r="A70" s="26"/>
      <c r="B70" s="27" t="s">
        <v>57</v>
      </c>
      <c r="C70" s="25"/>
      <c r="D70" s="43">
        <f>APTS!D70+MIDTOWN!D70+Terrace!D70+Marshall!D70</f>
        <v>848.5</v>
      </c>
      <c r="E70" s="43">
        <f>APTS!E70+MIDTOWN!E70+Terrace!E70+Marshall!E70</f>
        <v>848.5</v>
      </c>
      <c r="F70" s="43">
        <f>APTS!F70+MIDTOWN!F70+Terrace!F70+Marshall!F70</f>
        <v>848.5</v>
      </c>
      <c r="G70" s="43">
        <f>APTS!G70+MIDTOWN!G70+Terrace!G70+Marshall!G70</f>
        <v>848.5</v>
      </c>
      <c r="H70" s="43">
        <f>APTS!H70+MIDTOWN!H70+Terrace!H70+Marshall!H70</f>
        <v>848.5</v>
      </c>
      <c r="I70" s="43">
        <f>APTS!I70+MIDTOWN!I70+Terrace!I70+Marshall!I70</f>
        <v>848.5</v>
      </c>
      <c r="J70" s="43">
        <f>APTS!J70+MIDTOWN!J70+Terrace!J70+Marshall!J70</f>
        <v>848.5</v>
      </c>
      <c r="K70" s="43">
        <f>APTS!K70+MIDTOWN!K70+Terrace!K70+Marshall!K70</f>
        <v>848.5</v>
      </c>
      <c r="L70" s="43">
        <f>APTS!L70+MIDTOWN!L70+Terrace!L70+Marshall!L70</f>
        <v>848.5</v>
      </c>
      <c r="M70" s="43">
        <f>APTS!M70+MIDTOWN!M70+Terrace!M70+Marshall!M70</f>
        <v>848.5</v>
      </c>
      <c r="N70" s="43">
        <f>APTS!N70+MIDTOWN!N70+Terrace!N70+Marshall!N70</f>
        <v>848.5</v>
      </c>
      <c r="O70" s="43">
        <f>APTS!O70+MIDTOWN!O70+Terrace!O70+Marshall!O70</f>
        <v>848.5</v>
      </c>
      <c r="P70" s="25">
        <f t="shared" si="16"/>
        <v>10182</v>
      </c>
      <c r="Q70" s="25"/>
      <c r="R70" s="25"/>
    </row>
    <row r="71" spans="1:18" x14ac:dyDescent="0.3">
      <c r="A71" s="26"/>
      <c r="B71" s="27" t="s">
        <v>58</v>
      </c>
      <c r="C71" s="25"/>
      <c r="D71" s="43">
        <f>APTS!D71+MIDTOWN!D71+Terrace!D71+Marshall!D71</f>
        <v>0</v>
      </c>
      <c r="E71" s="43">
        <f>APTS!E71+MIDTOWN!E71+Terrace!E71+Marshall!E71</f>
        <v>0</v>
      </c>
      <c r="F71" s="43">
        <f>APTS!F71+MIDTOWN!F71+Terrace!F71+Marshall!F71</f>
        <v>0</v>
      </c>
      <c r="G71" s="43">
        <f>APTS!G71+MIDTOWN!G71+Terrace!G71+Marshall!G71</f>
        <v>0</v>
      </c>
      <c r="H71" s="43">
        <f>APTS!H71+MIDTOWN!H71+Terrace!H71+Marshall!H71</f>
        <v>0</v>
      </c>
      <c r="I71" s="43">
        <f>APTS!I71+MIDTOWN!I71+Terrace!I71+Marshall!I71</f>
        <v>0</v>
      </c>
      <c r="J71" s="43">
        <f>APTS!J71+MIDTOWN!J71+Terrace!J71+Marshall!J71</f>
        <v>0</v>
      </c>
      <c r="K71" s="43">
        <f>APTS!K71+MIDTOWN!K71+Terrace!K71+Marshall!K71</f>
        <v>0</v>
      </c>
      <c r="L71" s="43">
        <f>APTS!L71+MIDTOWN!L71+Terrace!L71+Marshall!L71</f>
        <v>0</v>
      </c>
      <c r="M71" s="43">
        <f>APTS!M71+MIDTOWN!M71+Terrace!M71+Marshall!M71</f>
        <v>0</v>
      </c>
      <c r="N71" s="43">
        <f>APTS!N71+MIDTOWN!N71+Terrace!N71+Marshall!N71</f>
        <v>0</v>
      </c>
      <c r="O71" s="43">
        <f>APTS!O71+MIDTOWN!O71+Terrace!O71+Marshall!O71</f>
        <v>0</v>
      </c>
      <c r="P71" s="25">
        <f t="shared" si="16"/>
        <v>0</v>
      </c>
      <c r="Q71" s="25"/>
      <c r="R71" s="25"/>
    </row>
    <row r="72" spans="1:18" x14ac:dyDescent="0.3">
      <c r="A72" s="26"/>
      <c r="B72" s="27" t="s">
        <v>59</v>
      </c>
      <c r="C72" s="25"/>
      <c r="D72" s="43">
        <f>APTS!D72+MIDTOWN!D72+Terrace!D72+Marshall!D72</f>
        <v>0</v>
      </c>
      <c r="E72" s="43">
        <f>APTS!E72+MIDTOWN!E72+Terrace!E72+Marshall!E72</f>
        <v>0</v>
      </c>
      <c r="F72" s="43">
        <f>APTS!F72+MIDTOWN!F72+Terrace!F72+Marshall!F72</f>
        <v>0</v>
      </c>
      <c r="G72" s="43">
        <f>APTS!G72+MIDTOWN!G72+Terrace!G72+Marshall!G72</f>
        <v>0</v>
      </c>
      <c r="H72" s="43">
        <f>APTS!H72+MIDTOWN!H72+Terrace!H72+Marshall!H72</f>
        <v>0</v>
      </c>
      <c r="I72" s="43">
        <f>APTS!I72+MIDTOWN!I72+Terrace!I72+Marshall!I72</f>
        <v>0</v>
      </c>
      <c r="J72" s="43">
        <f>APTS!J72+MIDTOWN!J72+Terrace!J72+Marshall!J72</f>
        <v>0</v>
      </c>
      <c r="K72" s="43">
        <f>APTS!K72+MIDTOWN!K72+Terrace!K72+Marshall!K72</f>
        <v>0</v>
      </c>
      <c r="L72" s="43">
        <f>APTS!L72+MIDTOWN!L72+Terrace!L72+Marshall!L72</f>
        <v>0</v>
      </c>
      <c r="M72" s="43">
        <f>APTS!M72+MIDTOWN!M72+Terrace!M72+Marshall!M72</f>
        <v>0</v>
      </c>
      <c r="N72" s="43">
        <f>APTS!N72+MIDTOWN!N72+Terrace!N72+Marshall!N72</f>
        <v>0</v>
      </c>
      <c r="O72" s="43">
        <f>APTS!O72+MIDTOWN!O72+Terrace!O72+Marshall!O72</f>
        <v>0</v>
      </c>
      <c r="P72" s="25">
        <f t="shared" si="16"/>
        <v>0</v>
      </c>
      <c r="Q72" s="25"/>
      <c r="R72" s="25"/>
    </row>
    <row r="73" spans="1:18" x14ac:dyDescent="0.3">
      <c r="A73" s="26"/>
      <c r="B73" s="27" t="s">
        <v>60</v>
      </c>
      <c r="C73" s="25"/>
      <c r="D73" s="43">
        <f>APTS!D73+MIDTOWN!D73+Terrace!D73+Marshall!D73</f>
        <v>0</v>
      </c>
      <c r="E73" s="43">
        <f>APTS!E73+MIDTOWN!E73+Terrace!E73+Marshall!E73</f>
        <v>0</v>
      </c>
      <c r="F73" s="43">
        <f>APTS!F73+MIDTOWN!F73+Terrace!F73+Marshall!F73</f>
        <v>0</v>
      </c>
      <c r="G73" s="43">
        <f>APTS!G73+MIDTOWN!G73+Terrace!G73+Marshall!G73</f>
        <v>0</v>
      </c>
      <c r="H73" s="43">
        <f>APTS!H73+MIDTOWN!H73+Terrace!H73+Marshall!H73</f>
        <v>0</v>
      </c>
      <c r="I73" s="43">
        <f>APTS!I73+MIDTOWN!I73+Terrace!I73+Marshall!I73</f>
        <v>0</v>
      </c>
      <c r="J73" s="43">
        <f>APTS!J73+MIDTOWN!J73+Terrace!J73+Marshall!J73</f>
        <v>0</v>
      </c>
      <c r="K73" s="43">
        <f>APTS!K73+MIDTOWN!K73+Terrace!K73+Marshall!K73</f>
        <v>0</v>
      </c>
      <c r="L73" s="43">
        <f>APTS!L73+MIDTOWN!L73+Terrace!L73+Marshall!L73</f>
        <v>0</v>
      </c>
      <c r="M73" s="43">
        <f>APTS!M73+MIDTOWN!M73+Terrace!M73+Marshall!M73</f>
        <v>0</v>
      </c>
      <c r="N73" s="43">
        <f>APTS!N73+MIDTOWN!N73+Terrace!N73+Marshall!N73</f>
        <v>0</v>
      </c>
      <c r="O73" s="43">
        <f>APTS!O73+MIDTOWN!O73+Terrace!O73+Marshall!O73</f>
        <v>0</v>
      </c>
      <c r="P73" s="25">
        <f t="shared" si="16"/>
        <v>0</v>
      </c>
      <c r="Q73" s="25"/>
      <c r="R73" s="25"/>
    </row>
    <row r="74" spans="1:18" x14ac:dyDescent="0.3">
      <c r="A74" s="26"/>
      <c r="B74" s="27" t="s">
        <v>61</v>
      </c>
      <c r="C74" s="25"/>
      <c r="D74" s="43">
        <f>APTS!D74+MIDTOWN!D74+Terrace!D74+Marshall!D74</f>
        <v>0</v>
      </c>
      <c r="E74" s="43">
        <f>APTS!E74+MIDTOWN!E74+Terrace!E74+Marshall!E74</f>
        <v>0</v>
      </c>
      <c r="F74" s="43">
        <f>APTS!F74+MIDTOWN!F74+Terrace!F74+Marshall!F74</f>
        <v>0</v>
      </c>
      <c r="G74" s="43">
        <f>APTS!G74+MIDTOWN!G74+Terrace!G74+Marshall!G74</f>
        <v>0</v>
      </c>
      <c r="H74" s="43">
        <f>APTS!H74+MIDTOWN!H74+Terrace!H74+Marshall!H74</f>
        <v>0</v>
      </c>
      <c r="I74" s="43">
        <f>APTS!I74+MIDTOWN!I74+Terrace!I74+Marshall!I74</f>
        <v>0</v>
      </c>
      <c r="J74" s="43">
        <f>APTS!J74+MIDTOWN!J74+Terrace!J74+Marshall!J74</f>
        <v>0</v>
      </c>
      <c r="K74" s="43">
        <f>APTS!K74+MIDTOWN!K74+Terrace!K74+Marshall!K74</f>
        <v>0</v>
      </c>
      <c r="L74" s="43">
        <f>APTS!L74+MIDTOWN!L74+Terrace!L74+Marshall!L74</f>
        <v>0</v>
      </c>
      <c r="M74" s="43">
        <f>APTS!M74+MIDTOWN!M74+Terrace!M74+Marshall!M74</f>
        <v>0</v>
      </c>
      <c r="N74" s="43">
        <f>APTS!N74+MIDTOWN!N74+Terrace!N74+Marshall!N74</f>
        <v>0</v>
      </c>
      <c r="O74" s="43">
        <f>APTS!O74+MIDTOWN!O74+Terrace!O74+Marshall!O74</f>
        <v>0</v>
      </c>
      <c r="P74" s="25">
        <f t="shared" si="16"/>
        <v>0</v>
      </c>
      <c r="Q74" s="25"/>
      <c r="R74" s="25"/>
    </row>
    <row r="75" spans="1:18" x14ac:dyDescent="0.3">
      <c r="A75" s="26"/>
      <c r="B75" s="27" t="s">
        <v>62</v>
      </c>
      <c r="C75" s="25"/>
      <c r="D75" s="43">
        <f>APTS!D75+MIDTOWN!D75+Terrace!D75+Marshall!D75</f>
        <v>440</v>
      </c>
      <c r="E75" s="43">
        <f>APTS!E75+MIDTOWN!E75+Terrace!E75+Marshall!E75</f>
        <v>440</v>
      </c>
      <c r="F75" s="43">
        <f>APTS!F75+MIDTOWN!F75+Terrace!F75+Marshall!F75</f>
        <v>440</v>
      </c>
      <c r="G75" s="43">
        <f>APTS!G75+MIDTOWN!G75+Terrace!G75+Marshall!G75</f>
        <v>440</v>
      </c>
      <c r="H75" s="43">
        <f>APTS!H75+MIDTOWN!H75+Terrace!H75+Marshall!H75</f>
        <v>440</v>
      </c>
      <c r="I75" s="43">
        <f>APTS!I75+MIDTOWN!I75+Terrace!I75+Marshall!I75</f>
        <v>440</v>
      </c>
      <c r="J75" s="43">
        <f>APTS!J75+MIDTOWN!J75+Terrace!J75+Marshall!J75</f>
        <v>440</v>
      </c>
      <c r="K75" s="43">
        <f>APTS!K75+MIDTOWN!K75+Terrace!K75+Marshall!K75</f>
        <v>440</v>
      </c>
      <c r="L75" s="43">
        <f>APTS!L75+MIDTOWN!L75+Terrace!L75+Marshall!L75</f>
        <v>440</v>
      </c>
      <c r="M75" s="43">
        <f>APTS!M75+MIDTOWN!M75+Terrace!M75+Marshall!M75</f>
        <v>440</v>
      </c>
      <c r="N75" s="43">
        <f>APTS!N75+MIDTOWN!N75+Terrace!N75+Marshall!N75</f>
        <v>440</v>
      </c>
      <c r="O75" s="43">
        <f>APTS!O75+MIDTOWN!O75+Terrace!O75+Marshall!O75</f>
        <v>440</v>
      </c>
      <c r="P75" s="25">
        <f t="shared" si="16"/>
        <v>5280</v>
      </c>
      <c r="Q75" s="25"/>
      <c r="R75" s="25"/>
    </row>
    <row r="76" spans="1:18" x14ac:dyDescent="0.3">
      <c r="A76" s="26"/>
      <c r="B76" s="27" t="s">
        <v>63</v>
      </c>
      <c r="C76" s="25"/>
      <c r="D76" s="43">
        <f>APTS!D76+MIDTOWN!D76+Terrace!D76+Marshall!D76</f>
        <v>0</v>
      </c>
      <c r="E76" s="43">
        <f>APTS!E76+MIDTOWN!E76+Terrace!E76+Marshall!E76</f>
        <v>0</v>
      </c>
      <c r="F76" s="43">
        <f>APTS!F76+MIDTOWN!F76+Terrace!F76+Marshall!F76</f>
        <v>0</v>
      </c>
      <c r="G76" s="43">
        <f>APTS!G76+MIDTOWN!G76+Terrace!G76+Marshall!G76</f>
        <v>0</v>
      </c>
      <c r="H76" s="43">
        <f>APTS!H76+MIDTOWN!H76+Terrace!H76+Marshall!H76</f>
        <v>0</v>
      </c>
      <c r="I76" s="43">
        <f>APTS!I76+MIDTOWN!I76+Terrace!I76+Marshall!I76</f>
        <v>0</v>
      </c>
      <c r="J76" s="43">
        <f>APTS!J76+MIDTOWN!J76+Terrace!J76+Marshall!J76</f>
        <v>0</v>
      </c>
      <c r="K76" s="43">
        <f>APTS!K76+MIDTOWN!K76+Terrace!K76+Marshall!K76</f>
        <v>0</v>
      </c>
      <c r="L76" s="43">
        <f>APTS!L76+MIDTOWN!L76+Terrace!L76+Marshall!L76</f>
        <v>0</v>
      </c>
      <c r="M76" s="43">
        <f>APTS!M76+MIDTOWN!M76+Terrace!M76+Marshall!M76</f>
        <v>0</v>
      </c>
      <c r="N76" s="43">
        <f>APTS!N76+MIDTOWN!N76+Terrace!N76+Marshall!N76</f>
        <v>0</v>
      </c>
      <c r="O76" s="43">
        <f>APTS!O76+MIDTOWN!O76+Terrace!O76+Marshall!O76</f>
        <v>0</v>
      </c>
      <c r="P76" s="25">
        <f t="shared" si="16"/>
        <v>0</v>
      </c>
      <c r="Q76" s="25"/>
      <c r="R76" s="25"/>
    </row>
    <row r="77" spans="1:18" x14ac:dyDescent="0.3">
      <c r="A77" s="27" t="s">
        <v>17</v>
      </c>
      <c r="B77" s="27" t="s">
        <v>64</v>
      </c>
      <c r="C77" s="25"/>
      <c r="D77" s="43">
        <f>APTS!D77+MIDTOWN!D77+Terrace!D77+Marshall!D77</f>
        <v>0</v>
      </c>
      <c r="E77" s="43">
        <f>APTS!E77+MIDTOWN!E77+Terrace!E77+Marshall!E77</f>
        <v>0</v>
      </c>
      <c r="F77" s="43">
        <f>APTS!F77+MIDTOWN!F77+Terrace!F77+Marshall!F77</f>
        <v>0</v>
      </c>
      <c r="G77" s="43">
        <f>APTS!G77+MIDTOWN!G77+Terrace!G77+Marshall!G77</f>
        <v>0</v>
      </c>
      <c r="H77" s="43">
        <f>APTS!H77+MIDTOWN!H77+Terrace!H77+Marshall!H77</f>
        <v>0</v>
      </c>
      <c r="I77" s="43">
        <f>APTS!I77+MIDTOWN!I77+Terrace!I77+Marshall!I77</f>
        <v>0</v>
      </c>
      <c r="J77" s="43">
        <f>APTS!J77+MIDTOWN!J77+Terrace!J77+Marshall!J77</f>
        <v>0</v>
      </c>
      <c r="K77" s="43">
        <f>APTS!K77+MIDTOWN!K77+Terrace!K77+Marshall!K77</f>
        <v>0</v>
      </c>
      <c r="L77" s="43">
        <f>APTS!L77+MIDTOWN!L77+Terrace!L77+Marshall!L77</f>
        <v>0</v>
      </c>
      <c r="M77" s="43">
        <f>APTS!M77+MIDTOWN!M77+Terrace!M77+Marshall!M77</f>
        <v>0</v>
      </c>
      <c r="N77" s="43">
        <f>APTS!N77+MIDTOWN!N77+Terrace!N77+Marshall!N77</f>
        <v>0</v>
      </c>
      <c r="O77" s="43">
        <f>APTS!O77+MIDTOWN!O77+Terrace!O77+Marshall!O77</f>
        <v>0</v>
      </c>
      <c r="P77" s="25">
        <f t="shared" si="16"/>
        <v>0</v>
      </c>
      <c r="Q77" s="25"/>
      <c r="R77" s="25"/>
    </row>
    <row r="78" spans="1:18" x14ac:dyDescent="0.3">
      <c r="A78" s="26"/>
      <c r="B78" s="27" t="s">
        <v>65</v>
      </c>
      <c r="C78" s="25"/>
      <c r="D78" s="43">
        <f>APTS!D78+MIDTOWN!D78+Terrace!D78+Marshall!D78</f>
        <v>0</v>
      </c>
      <c r="E78" s="43">
        <f>APTS!E78+MIDTOWN!E78+Terrace!E78+Marshall!E78</f>
        <v>0</v>
      </c>
      <c r="F78" s="43">
        <f>APTS!F78+MIDTOWN!F78+Terrace!F78+Marshall!F78</f>
        <v>0</v>
      </c>
      <c r="G78" s="43">
        <f>APTS!G78+MIDTOWN!G78+Terrace!G78+Marshall!G78</f>
        <v>0</v>
      </c>
      <c r="H78" s="43">
        <f>APTS!H78+MIDTOWN!H78+Terrace!H78+Marshall!H78</f>
        <v>0</v>
      </c>
      <c r="I78" s="43">
        <f>APTS!I78+MIDTOWN!I78+Terrace!I78+Marshall!I78</f>
        <v>0</v>
      </c>
      <c r="J78" s="43">
        <f>APTS!J78+MIDTOWN!J78+Terrace!J78+Marshall!J78</f>
        <v>0</v>
      </c>
      <c r="K78" s="43">
        <f>APTS!K78+MIDTOWN!K78+Terrace!K78+Marshall!K78</f>
        <v>0</v>
      </c>
      <c r="L78" s="43">
        <f>APTS!L78+MIDTOWN!L78+Terrace!L78+Marshall!L78</f>
        <v>0</v>
      </c>
      <c r="M78" s="43">
        <f>APTS!M78+MIDTOWN!M78+Terrace!M78+Marshall!M78</f>
        <v>0</v>
      </c>
      <c r="N78" s="43">
        <f>APTS!N78+MIDTOWN!N78+Terrace!N78+Marshall!N78</f>
        <v>0</v>
      </c>
      <c r="O78" s="43">
        <f>APTS!O78+MIDTOWN!O78+Terrace!O78+Marshall!O78</f>
        <v>0</v>
      </c>
      <c r="P78" s="25">
        <f t="shared" si="16"/>
        <v>0</v>
      </c>
      <c r="Q78" s="25"/>
      <c r="R78" s="25"/>
    </row>
    <row r="79" spans="1:18" x14ac:dyDescent="0.3">
      <c r="A79" s="26"/>
      <c r="B79" s="26"/>
      <c r="C79" s="25"/>
      <c r="D79" s="43">
        <f>APTS!D79+MIDTOWN!D79+Terrace!D79+Marshall!D79</f>
        <v>0</v>
      </c>
      <c r="E79" s="43">
        <f>APTS!E79+MIDTOWN!E79+Terrace!E79+Marshall!E79</f>
        <v>0</v>
      </c>
      <c r="F79" s="43">
        <f>APTS!F79+MIDTOWN!F79+Terrace!F79+Marshall!F79</f>
        <v>0</v>
      </c>
      <c r="G79" s="43">
        <f>APTS!G79+MIDTOWN!G79+Terrace!G79+Marshall!G79</f>
        <v>0</v>
      </c>
      <c r="H79" s="43">
        <f>APTS!H79+MIDTOWN!H79+Terrace!H79+Marshall!H79</f>
        <v>0</v>
      </c>
      <c r="I79" s="43">
        <f>APTS!I79+MIDTOWN!I79+Terrace!I79+Marshall!I79</f>
        <v>0</v>
      </c>
      <c r="J79" s="43">
        <f>APTS!J79+MIDTOWN!J79+Terrace!J79+Marshall!J79</f>
        <v>0</v>
      </c>
      <c r="K79" s="43">
        <f>APTS!K79+MIDTOWN!K79+Terrace!K79+Marshall!K79</f>
        <v>0</v>
      </c>
      <c r="L79" s="43">
        <f>APTS!L79+MIDTOWN!L79+Terrace!L79+Marshall!L79</f>
        <v>0</v>
      </c>
      <c r="M79" s="43">
        <f>APTS!M79+MIDTOWN!M79+Terrace!M79+Marshall!M79</f>
        <v>0</v>
      </c>
      <c r="N79" s="43">
        <f>APTS!N79+MIDTOWN!N79+Terrace!N79+Marshall!N79</f>
        <v>0</v>
      </c>
      <c r="O79" s="43">
        <f>APTS!O79+MIDTOWN!O79+Terrace!O79+Marshall!O79</f>
        <v>0</v>
      </c>
      <c r="P79" s="25">
        <f t="shared" si="16"/>
        <v>0</v>
      </c>
      <c r="Q79" s="25"/>
      <c r="R79" s="25"/>
    </row>
    <row r="80" spans="1:18" x14ac:dyDescent="0.3">
      <c r="A80" s="26"/>
      <c r="B80" s="27"/>
      <c r="C80" s="25"/>
      <c r="D80" s="43">
        <f>APTS!D80+MIDTOWN!D80+Terrace!D80+Marshall!D80</f>
        <v>0</v>
      </c>
      <c r="E80" s="43">
        <f>APTS!E80+MIDTOWN!E80+Terrace!E80+Marshall!E80</f>
        <v>0</v>
      </c>
      <c r="F80" s="43">
        <f>APTS!F80+MIDTOWN!F80+Terrace!F80+Marshall!F80</f>
        <v>0</v>
      </c>
      <c r="G80" s="43">
        <f>APTS!G80+MIDTOWN!G80+Terrace!G80+Marshall!G80</f>
        <v>0</v>
      </c>
      <c r="H80" s="43">
        <f>APTS!H80+MIDTOWN!H80+Terrace!H80+Marshall!H80</f>
        <v>0</v>
      </c>
      <c r="I80" s="43">
        <f>APTS!I80+MIDTOWN!I80+Terrace!I80+Marshall!I80</f>
        <v>0</v>
      </c>
      <c r="J80" s="43">
        <f>APTS!J80+MIDTOWN!J80+Terrace!J80+Marshall!J80</f>
        <v>0</v>
      </c>
      <c r="K80" s="43">
        <f>APTS!K80+MIDTOWN!K80+Terrace!K80+Marshall!K80</f>
        <v>0</v>
      </c>
      <c r="L80" s="43">
        <f>APTS!L80+MIDTOWN!L80+Terrace!L80+Marshall!L80</f>
        <v>0</v>
      </c>
      <c r="M80" s="43">
        <f>APTS!M80+MIDTOWN!M80+Terrace!M80+Marshall!M80</f>
        <v>0</v>
      </c>
      <c r="N80" s="43">
        <f>APTS!N80+MIDTOWN!N80+Terrace!N80+Marshall!N80</f>
        <v>0</v>
      </c>
      <c r="O80" s="43">
        <f>APTS!O80+MIDTOWN!O80+Terrace!O80+Marshall!O80</f>
        <v>0</v>
      </c>
      <c r="P80" s="25">
        <f t="shared" si="16"/>
        <v>0</v>
      </c>
      <c r="Q80" s="25"/>
      <c r="R80" s="25"/>
    </row>
    <row r="81" spans="1:18" x14ac:dyDescent="0.3">
      <c r="A81" s="26"/>
      <c r="B81" s="27"/>
      <c r="C81" s="25"/>
      <c r="D81" s="43">
        <f>APTS!D81+MIDTOWN!D81+Terrace!D81+Marshall!D81</f>
        <v>0</v>
      </c>
      <c r="E81" s="43">
        <f>APTS!E81+MIDTOWN!E81+Terrace!E81+Marshall!E81</f>
        <v>0</v>
      </c>
      <c r="F81" s="43">
        <f>APTS!F81+MIDTOWN!F81+Terrace!F81+Marshall!F81</f>
        <v>0</v>
      </c>
      <c r="G81" s="43">
        <f>APTS!G81+MIDTOWN!G81+Terrace!G81+Marshall!G81</f>
        <v>0</v>
      </c>
      <c r="H81" s="43">
        <f>APTS!H81+MIDTOWN!H81+Terrace!H81+Marshall!H81</f>
        <v>0</v>
      </c>
      <c r="I81" s="43">
        <f>APTS!I81+MIDTOWN!I81+Terrace!I81+Marshall!I81</f>
        <v>0</v>
      </c>
      <c r="J81" s="43">
        <f>APTS!J81+MIDTOWN!J81+Terrace!J81+Marshall!J81</f>
        <v>0</v>
      </c>
      <c r="K81" s="43">
        <f>APTS!K81+MIDTOWN!K81+Terrace!K81+Marshall!K81</f>
        <v>0</v>
      </c>
      <c r="L81" s="43">
        <f>APTS!L81+MIDTOWN!L81+Terrace!L81+Marshall!L81</f>
        <v>0</v>
      </c>
      <c r="M81" s="43">
        <f>APTS!M81+MIDTOWN!M81+Terrace!M81+Marshall!M81</f>
        <v>0</v>
      </c>
      <c r="N81" s="43">
        <f>APTS!N81+MIDTOWN!N81+Terrace!N81+Marshall!N81</f>
        <v>0</v>
      </c>
      <c r="O81" s="43">
        <f>APTS!O81+MIDTOWN!O81+Terrace!O81+Marshall!O81</f>
        <v>0</v>
      </c>
      <c r="P81" s="25">
        <f t="shared" si="16"/>
        <v>0</v>
      </c>
      <c r="Q81" s="25"/>
      <c r="R81" s="25"/>
    </row>
    <row r="82" spans="1:18" x14ac:dyDescent="0.3">
      <c r="A82" s="26"/>
      <c r="B82" s="27"/>
      <c r="C82" s="25"/>
      <c r="D82" s="43">
        <f>APTS!D82+MIDTOWN!D82+Terrace!D82+Marshall!D82</f>
        <v>0</v>
      </c>
      <c r="E82" s="43">
        <f>APTS!E82+MIDTOWN!E82+Terrace!E82+Marshall!E82</f>
        <v>0</v>
      </c>
      <c r="F82" s="43">
        <f>APTS!F82+MIDTOWN!F82+Terrace!F82+Marshall!F82</f>
        <v>0</v>
      </c>
      <c r="G82" s="43">
        <f>APTS!G82+MIDTOWN!G82+Terrace!G82+Marshall!G82</f>
        <v>0</v>
      </c>
      <c r="H82" s="43">
        <f>APTS!H82+MIDTOWN!H82+Terrace!H82+Marshall!H82</f>
        <v>0</v>
      </c>
      <c r="I82" s="43">
        <f>APTS!I82+MIDTOWN!I82+Terrace!I82+Marshall!I82</f>
        <v>0</v>
      </c>
      <c r="J82" s="43">
        <f>APTS!J82+MIDTOWN!J82+Terrace!J82+Marshall!J82</f>
        <v>0</v>
      </c>
      <c r="K82" s="43">
        <f>APTS!K82+MIDTOWN!K82+Terrace!K82+Marshall!K82</f>
        <v>0</v>
      </c>
      <c r="L82" s="43">
        <f>APTS!L82+MIDTOWN!L82+Terrace!L82+Marshall!L82</f>
        <v>0</v>
      </c>
      <c r="M82" s="43">
        <f>APTS!M82+MIDTOWN!M82+Terrace!M82+Marshall!M82</f>
        <v>0</v>
      </c>
      <c r="N82" s="43">
        <f>APTS!N82+MIDTOWN!N82+Terrace!N82+Marshall!N82</f>
        <v>0</v>
      </c>
      <c r="O82" s="43">
        <f>APTS!O82+MIDTOWN!O82+Terrace!O82+Marshall!O82</f>
        <v>0</v>
      </c>
      <c r="P82" s="25">
        <f t="shared" si="16"/>
        <v>0</v>
      </c>
      <c r="Q82" s="25"/>
      <c r="R82" s="25"/>
    </row>
    <row r="83" spans="1:18" x14ac:dyDescent="0.3">
      <c r="A83" s="26"/>
      <c r="B83" s="27"/>
      <c r="C83" s="25"/>
      <c r="D83" s="43">
        <f>APTS!D83+MIDTOWN!D83+Terrace!D83+Marshall!D83</f>
        <v>0</v>
      </c>
      <c r="E83" s="43">
        <f>APTS!E83+MIDTOWN!E83+Terrace!E83+Marshall!E83</f>
        <v>0</v>
      </c>
      <c r="F83" s="43">
        <f>APTS!F83+MIDTOWN!F83+Terrace!F83+Marshall!F83</f>
        <v>0</v>
      </c>
      <c r="G83" s="43">
        <f>APTS!G83+MIDTOWN!G83+Terrace!G83+Marshall!G83</f>
        <v>0</v>
      </c>
      <c r="H83" s="43">
        <f>APTS!H83+MIDTOWN!H83+Terrace!H83+Marshall!H83</f>
        <v>0</v>
      </c>
      <c r="I83" s="43">
        <f>APTS!I83+MIDTOWN!I83+Terrace!I83+Marshall!I83</f>
        <v>0</v>
      </c>
      <c r="J83" s="43">
        <f>APTS!J83+MIDTOWN!J83+Terrace!J83+Marshall!J83</f>
        <v>0</v>
      </c>
      <c r="K83" s="43">
        <f>APTS!K83+MIDTOWN!K83+Terrace!K83+Marshall!K83</f>
        <v>0</v>
      </c>
      <c r="L83" s="43">
        <f>APTS!L83+MIDTOWN!L83+Terrace!L83+Marshall!L83</f>
        <v>0</v>
      </c>
      <c r="M83" s="43">
        <f>APTS!M83+MIDTOWN!M83+Terrace!M83+Marshall!M83</f>
        <v>0</v>
      </c>
      <c r="N83" s="43">
        <f>APTS!N83+MIDTOWN!N83+Terrace!N83+Marshall!N83</f>
        <v>0</v>
      </c>
      <c r="O83" s="43">
        <f>APTS!O83+MIDTOWN!O83+Terrace!O83+Marshall!O83</f>
        <v>0</v>
      </c>
      <c r="P83" s="25">
        <f t="shared" si="16"/>
        <v>0</v>
      </c>
      <c r="Q83" s="25"/>
      <c r="R83" s="25"/>
    </row>
    <row r="84" spans="1:18" x14ac:dyDescent="0.3">
      <c r="A84" s="194" t="s">
        <v>66</v>
      </c>
      <c r="B84" s="194"/>
      <c r="C84" s="25"/>
      <c r="D84" s="28">
        <f t="shared" ref="D84:I84" si="17">SUM(D56:D83)</f>
        <v>5500.5</v>
      </c>
      <c r="E84" s="28">
        <f t="shared" si="17"/>
        <v>2800.5</v>
      </c>
      <c r="F84" s="28">
        <f t="shared" si="17"/>
        <v>3099.5</v>
      </c>
      <c r="G84" s="28">
        <f t="shared" si="17"/>
        <v>2800.5</v>
      </c>
      <c r="H84" s="28">
        <f t="shared" si="17"/>
        <v>2800.5</v>
      </c>
      <c r="I84" s="28">
        <f t="shared" si="17"/>
        <v>3099.5</v>
      </c>
      <c r="J84" s="28">
        <f t="shared" ref="J84:P84" si="18">SUM(J56:J83)</f>
        <v>2800.5</v>
      </c>
      <c r="K84" s="28">
        <f t="shared" si="18"/>
        <v>2800.5</v>
      </c>
      <c r="L84" s="28">
        <f t="shared" si="18"/>
        <v>3099.5</v>
      </c>
      <c r="M84" s="28">
        <f t="shared" si="18"/>
        <v>2800.5</v>
      </c>
      <c r="N84" s="28">
        <f t="shared" si="18"/>
        <v>2800.5</v>
      </c>
      <c r="O84" s="28">
        <f t="shared" si="18"/>
        <v>3099.5</v>
      </c>
      <c r="P84" s="28">
        <f t="shared" si="18"/>
        <v>37502</v>
      </c>
      <c r="Q84" s="29">
        <f>SUM(P55:P83)-P84</f>
        <v>0</v>
      </c>
      <c r="R84" s="25"/>
    </row>
    <row r="85" spans="1:18" x14ac:dyDescent="0.3">
      <c r="A85" s="194" t="s">
        <v>67</v>
      </c>
      <c r="B85" s="194"/>
      <c r="C85" s="25"/>
      <c r="D85" s="43"/>
      <c r="E85" s="43"/>
      <c r="F85" s="43"/>
      <c r="G85" s="43"/>
      <c r="H85" s="43"/>
      <c r="I85" s="43"/>
      <c r="J85" s="25"/>
      <c r="K85" s="25"/>
      <c r="L85" s="25"/>
      <c r="M85" s="25"/>
      <c r="N85" s="25"/>
      <c r="O85" s="25"/>
      <c r="P85" s="25"/>
      <c r="Q85" s="25"/>
      <c r="R85" s="25"/>
    </row>
    <row r="86" spans="1:18" x14ac:dyDescent="0.3">
      <c r="A86" s="26"/>
      <c r="B86" s="27" t="s">
        <v>68</v>
      </c>
      <c r="C86" s="25"/>
      <c r="D86" s="43">
        <f>APTS!D86+MIDTOWN!D86+Terrace!D86+Marshall!D86</f>
        <v>0</v>
      </c>
      <c r="E86" s="43">
        <f>APTS!E86+MIDTOWN!E86+Terrace!E86+Marshall!E86</f>
        <v>0</v>
      </c>
      <c r="F86" s="43">
        <f>APTS!F86+MIDTOWN!F86+Terrace!F86+Marshall!F86</f>
        <v>0</v>
      </c>
      <c r="G86" s="43">
        <f>APTS!G86+MIDTOWN!G86+Terrace!G86+Marshall!G86</f>
        <v>0</v>
      </c>
      <c r="H86" s="43">
        <f>APTS!H86+MIDTOWN!H86+Terrace!H86+Marshall!H86</f>
        <v>0</v>
      </c>
      <c r="I86" s="43">
        <f>APTS!I86+MIDTOWN!I86+Terrace!I86+Marshall!I86</f>
        <v>0</v>
      </c>
      <c r="J86" s="43">
        <f>APTS!J86+MIDTOWN!J86+Terrace!J86+Marshall!J86</f>
        <v>0</v>
      </c>
      <c r="K86" s="43">
        <f>APTS!K86+MIDTOWN!K86+Terrace!K86+Marshall!K86</f>
        <v>0</v>
      </c>
      <c r="L86" s="43">
        <f>APTS!L86+MIDTOWN!L86+Terrace!L86+Marshall!L86</f>
        <v>0</v>
      </c>
      <c r="M86" s="43">
        <f>APTS!M86+MIDTOWN!M86+Terrace!M86+Marshall!M86</f>
        <v>0</v>
      </c>
      <c r="N86" s="43">
        <f>APTS!N86+MIDTOWN!N86+Terrace!N86+Marshall!N86</f>
        <v>0</v>
      </c>
      <c r="O86" s="43">
        <f>APTS!O86+MIDTOWN!O86+Terrace!O86+Marshall!O86</f>
        <v>0</v>
      </c>
      <c r="P86" s="25">
        <f t="shared" ref="P86:P104" si="19">SUM(D86:O86)</f>
        <v>0</v>
      </c>
      <c r="Q86" s="25"/>
      <c r="R86" s="25"/>
    </row>
    <row r="87" spans="1:18" x14ac:dyDescent="0.3">
      <c r="A87" s="26"/>
      <c r="B87" s="27" t="s">
        <v>69</v>
      </c>
      <c r="C87" s="25"/>
      <c r="D87" s="43">
        <f>APTS!D87+MIDTOWN!D87+Terrace!D87+Marshall!D87</f>
        <v>0</v>
      </c>
      <c r="E87" s="43">
        <f>APTS!E87+MIDTOWN!E87+Terrace!E87+Marshall!E87</f>
        <v>0</v>
      </c>
      <c r="F87" s="43">
        <f>APTS!F87+MIDTOWN!F87+Terrace!F87+Marshall!F87</f>
        <v>0</v>
      </c>
      <c r="G87" s="43">
        <f>APTS!G87+MIDTOWN!G87+Terrace!G87+Marshall!G87</f>
        <v>0</v>
      </c>
      <c r="H87" s="43">
        <f>APTS!H87+MIDTOWN!H87+Terrace!H87+Marshall!H87</f>
        <v>0</v>
      </c>
      <c r="I87" s="43">
        <f>APTS!I87+MIDTOWN!I87+Terrace!I87+Marshall!I87</f>
        <v>0</v>
      </c>
      <c r="J87" s="43">
        <f>APTS!J87+MIDTOWN!J87+Terrace!J87+Marshall!J87</f>
        <v>0</v>
      </c>
      <c r="K87" s="43">
        <f>APTS!K87+MIDTOWN!K87+Terrace!K87+Marshall!K87</f>
        <v>0</v>
      </c>
      <c r="L87" s="43">
        <f>APTS!L87+MIDTOWN!L87+Terrace!L87+Marshall!L87</f>
        <v>0</v>
      </c>
      <c r="M87" s="43">
        <f>APTS!M87+MIDTOWN!M87+Terrace!M87+Marshall!M87</f>
        <v>0</v>
      </c>
      <c r="N87" s="43">
        <f>APTS!N87+MIDTOWN!N87+Terrace!N87+Marshall!N87</f>
        <v>0</v>
      </c>
      <c r="O87" s="43">
        <f>APTS!O87+MIDTOWN!O87+Terrace!O87+Marshall!O87</f>
        <v>0</v>
      </c>
      <c r="P87" s="25">
        <f t="shared" si="19"/>
        <v>0</v>
      </c>
      <c r="Q87" s="25"/>
      <c r="R87" s="25"/>
    </row>
    <row r="88" spans="1:18" x14ac:dyDescent="0.3">
      <c r="A88" s="26"/>
      <c r="B88" s="27" t="s">
        <v>70</v>
      </c>
      <c r="C88" s="25"/>
      <c r="D88" s="43">
        <f>APTS!D88+MIDTOWN!D88+Terrace!D88+Marshall!D88</f>
        <v>0</v>
      </c>
      <c r="E88" s="43">
        <f>APTS!E88+MIDTOWN!E88+Terrace!E88+Marshall!E88</f>
        <v>0</v>
      </c>
      <c r="F88" s="43">
        <f>APTS!F88+MIDTOWN!F88+Terrace!F88+Marshall!F88</f>
        <v>0</v>
      </c>
      <c r="G88" s="43">
        <f>APTS!G88+MIDTOWN!G88+Terrace!G88+Marshall!G88</f>
        <v>0</v>
      </c>
      <c r="H88" s="43">
        <f>APTS!H88+MIDTOWN!H88+Terrace!H88+Marshall!H88</f>
        <v>0</v>
      </c>
      <c r="I88" s="43">
        <f>APTS!I88+MIDTOWN!I88+Terrace!I88+Marshall!I88</f>
        <v>0</v>
      </c>
      <c r="J88" s="43">
        <f>APTS!J88+MIDTOWN!J88+Terrace!J88+Marshall!J88</f>
        <v>0</v>
      </c>
      <c r="K88" s="43">
        <f>APTS!K88+MIDTOWN!K88+Terrace!K88+Marshall!K88</f>
        <v>0</v>
      </c>
      <c r="L88" s="43">
        <f>APTS!L88+MIDTOWN!L88+Terrace!L88+Marshall!L88</f>
        <v>0</v>
      </c>
      <c r="M88" s="43">
        <f>APTS!M88+MIDTOWN!M88+Terrace!M88+Marshall!M88</f>
        <v>0</v>
      </c>
      <c r="N88" s="43">
        <f>APTS!N88+MIDTOWN!N88+Terrace!N88+Marshall!N88</f>
        <v>0</v>
      </c>
      <c r="O88" s="43">
        <f>APTS!O88+MIDTOWN!O88+Terrace!O88+Marshall!O88</f>
        <v>0</v>
      </c>
      <c r="P88" s="25">
        <f t="shared" si="19"/>
        <v>0</v>
      </c>
      <c r="Q88" s="25"/>
      <c r="R88" s="25"/>
    </row>
    <row r="89" spans="1:18" x14ac:dyDescent="0.3">
      <c r="A89" s="26"/>
      <c r="B89" s="27" t="s">
        <v>71</v>
      </c>
      <c r="C89" s="25"/>
      <c r="D89" s="43">
        <f>APTS!D89+MIDTOWN!D89+Terrace!D89+Marshall!D89</f>
        <v>483.33333333333337</v>
      </c>
      <c r="E89" s="43">
        <f>APTS!E89+MIDTOWN!E89+Terrace!E89+Marshall!E89</f>
        <v>483.33333333333337</v>
      </c>
      <c r="F89" s="43">
        <f>APTS!F89+MIDTOWN!F89+Terrace!F89+Marshall!F89</f>
        <v>483.33333333333337</v>
      </c>
      <c r="G89" s="43">
        <f>APTS!G89+MIDTOWN!G89+Terrace!G89+Marshall!G89</f>
        <v>483.33333333333337</v>
      </c>
      <c r="H89" s="43">
        <f>APTS!H89+MIDTOWN!H89+Terrace!H89+Marshall!H89</f>
        <v>483.33333333333337</v>
      </c>
      <c r="I89" s="43">
        <f>APTS!I89+MIDTOWN!I89+Terrace!I89+Marshall!I89</f>
        <v>483.33333333333337</v>
      </c>
      <c r="J89" s="43">
        <f>APTS!J89+MIDTOWN!J89+Terrace!J89+Marshall!J89</f>
        <v>483.33333333333337</v>
      </c>
      <c r="K89" s="43">
        <f>APTS!K89+MIDTOWN!K89+Terrace!K89+Marshall!K89</f>
        <v>483.33333333333337</v>
      </c>
      <c r="L89" s="43">
        <f>APTS!L89+MIDTOWN!L89+Terrace!L89+Marshall!L89</f>
        <v>483.33333333333337</v>
      </c>
      <c r="M89" s="43">
        <f>APTS!M89+MIDTOWN!M89+Terrace!M89+Marshall!M89</f>
        <v>483.33333333333337</v>
      </c>
      <c r="N89" s="43">
        <f>APTS!N89+MIDTOWN!N89+Terrace!N89+Marshall!N89</f>
        <v>483.33333333333337</v>
      </c>
      <c r="O89" s="43">
        <f>APTS!O89+MIDTOWN!O89+Terrace!O89+Marshall!O89</f>
        <v>483.33333333333337</v>
      </c>
      <c r="P89" s="25">
        <f t="shared" si="19"/>
        <v>5800</v>
      </c>
      <c r="Q89" s="25"/>
      <c r="R89" s="25"/>
    </row>
    <row r="90" spans="1:18" x14ac:dyDescent="0.3">
      <c r="A90" s="26"/>
      <c r="B90" s="27" t="s">
        <v>72</v>
      </c>
      <c r="C90" s="25"/>
      <c r="D90" s="43">
        <f>APTS!D90+MIDTOWN!D90+Terrace!D90+Marshall!D90</f>
        <v>0</v>
      </c>
      <c r="E90" s="43">
        <f>APTS!E90+MIDTOWN!E90+Terrace!E90+Marshall!E90</f>
        <v>0</v>
      </c>
      <c r="F90" s="43">
        <f>APTS!F90+MIDTOWN!F90+Terrace!F90+Marshall!F90</f>
        <v>0</v>
      </c>
      <c r="G90" s="43">
        <f>APTS!G90+MIDTOWN!G90+Terrace!G90+Marshall!G90</f>
        <v>0</v>
      </c>
      <c r="H90" s="43">
        <f>APTS!H90+MIDTOWN!H90+Terrace!H90+Marshall!H90</f>
        <v>0</v>
      </c>
      <c r="I90" s="43">
        <f>APTS!I90+MIDTOWN!I90+Terrace!I90+Marshall!I90</f>
        <v>0</v>
      </c>
      <c r="J90" s="43">
        <f>APTS!J90+MIDTOWN!J90+Terrace!J90+Marshall!J90</f>
        <v>0</v>
      </c>
      <c r="K90" s="43">
        <f>APTS!K90+MIDTOWN!K90+Terrace!K90+Marshall!K90</f>
        <v>0</v>
      </c>
      <c r="L90" s="43">
        <f>APTS!L90+MIDTOWN!L90+Terrace!L90+Marshall!L90</f>
        <v>0</v>
      </c>
      <c r="M90" s="43">
        <f>APTS!M90+MIDTOWN!M90+Terrace!M90+Marshall!M90</f>
        <v>0</v>
      </c>
      <c r="N90" s="43">
        <f>APTS!N90+MIDTOWN!N90+Terrace!N90+Marshall!N90</f>
        <v>0</v>
      </c>
      <c r="O90" s="43">
        <f>APTS!O90+MIDTOWN!O90+Terrace!O90+Marshall!O90</f>
        <v>0</v>
      </c>
      <c r="P90" s="25">
        <f t="shared" si="19"/>
        <v>0</v>
      </c>
      <c r="Q90" s="25"/>
      <c r="R90" s="25"/>
    </row>
    <row r="91" spans="1:18" x14ac:dyDescent="0.3">
      <c r="A91" s="26"/>
      <c r="B91" s="27" t="s">
        <v>73</v>
      </c>
      <c r="C91" s="25"/>
      <c r="D91" s="43">
        <f>APTS!D91+MIDTOWN!D91+Terrace!D91+Marshall!D91</f>
        <v>0</v>
      </c>
      <c r="E91" s="43">
        <f>APTS!E91+MIDTOWN!E91+Terrace!E91+Marshall!E91</f>
        <v>0</v>
      </c>
      <c r="F91" s="43">
        <f>APTS!F91+MIDTOWN!F91+Terrace!F91+Marshall!F91</f>
        <v>0</v>
      </c>
      <c r="G91" s="43">
        <f>APTS!G91+MIDTOWN!G91+Terrace!G91+Marshall!G91</f>
        <v>0</v>
      </c>
      <c r="H91" s="43">
        <f>APTS!H91+MIDTOWN!H91+Terrace!H91+Marshall!H91</f>
        <v>0</v>
      </c>
      <c r="I91" s="43">
        <f>APTS!I91+MIDTOWN!I91+Terrace!I91+Marshall!I91</f>
        <v>0</v>
      </c>
      <c r="J91" s="43">
        <f>APTS!J91+MIDTOWN!J91+Terrace!J91+Marshall!J91</f>
        <v>0</v>
      </c>
      <c r="K91" s="43">
        <f>APTS!K91+MIDTOWN!K91+Terrace!K91+Marshall!K91</f>
        <v>0</v>
      </c>
      <c r="L91" s="43">
        <f>APTS!L91+MIDTOWN!L91+Terrace!L91+Marshall!L91</f>
        <v>0</v>
      </c>
      <c r="M91" s="43">
        <f>APTS!M91+MIDTOWN!M91+Terrace!M91+Marshall!M91</f>
        <v>0</v>
      </c>
      <c r="N91" s="43">
        <f>APTS!N91+MIDTOWN!N91+Terrace!N91+Marshall!N91</f>
        <v>0</v>
      </c>
      <c r="O91" s="43">
        <f>APTS!O91+MIDTOWN!O91+Terrace!O91+Marshall!O91</f>
        <v>0</v>
      </c>
      <c r="P91" s="25">
        <f t="shared" si="19"/>
        <v>0</v>
      </c>
      <c r="Q91" s="25"/>
      <c r="R91" s="25"/>
    </row>
    <row r="92" spans="1:18" x14ac:dyDescent="0.3">
      <c r="A92" s="26"/>
      <c r="B92" s="27" t="s">
        <v>74</v>
      </c>
      <c r="C92" s="25"/>
      <c r="D92" s="43">
        <f>APTS!D92+MIDTOWN!D92+Terrace!D92+Marshall!D92</f>
        <v>0</v>
      </c>
      <c r="E92" s="43">
        <f>APTS!E92+MIDTOWN!E92+Terrace!E92+Marshall!E92</f>
        <v>0</v>
      </c>
      <c r="F92" s="43">
        <f>APTS!F92+MIDTOWN!F92+Terrace!F92+Marshall!F92</f>
        <v>0</v>
      </c>
      <c r="G92" s="43">
        <f>APTS!G92+MIDTOWN!G92+Terrace!G92+Marshall!G92</f>
        <v>0</v>
      </c>
      <c r="H92" s="43">
        <f>APTS!H92+MIDTOWN!H92+Terrace!H92+Marshall!H92</f>
        <v>0</v>
      </c>
      <c r="I92" s="43">
        <f>APTS!I92+MIDTOWN!I92+Terrace!I92+Marshall!I92</f>
        <v>0</v>
      </c>
      <c r="J92" s="43">
        <f>APTS!J92+MIDTOWN!J92+Terrace!J92+Marshall!J92</f>
        <v>0</v>
      </c>
      <c r="K92" s="43">
        <f>APTS!K92+MIDTOWN!K92+Terrace!K92+Marshall!K92</f>
        <v>0</v>
      </c>
      <c r="L92" s="43">
        <f>APTS!L92+MIDTOWN!L92+Terrace!L92+Marshall!L92</f>
        <v>0</v>
      </c>
      <c r="M92" s="43">
        <f>APTS!M92+MIDTOWN!M92+Terrace!M92+Marshall!M92</f>
        <v>0</v>
      </c>
      <c r="N92" s="43">
        <f>APTS!N92+MIDTOWN!N92+Terrace!N92+Marshall!N92</f>
        <v>0</v>
      </c>
      <c r="O92" s="43">
        <f>APTS!O92+MIDTOWN!O92+Terrace!O92+Marshall!O92</f>
        <v>0</v>
      </c>
      <c r="P92" s="25">
        <f t="shared" si="19"/>
        <v>0</v>
      </c>
      <c r="Q92" s="25"/>
      <c r="R92" s="25"/>
    </row>
    <row r="93" spans="1:18" x14ac:dyDescent="0.3">
      <c r="A93" s="26"/>
      <c r="B93" s="27" t="s">
        <v>75</v>
      </c>
      <c r="C93" s="25"/>
      <c r="D93" s="43">
        <f>APTS!D93+MIDTOWN!D93+Terrace!D93+Marshall!D93</f>
        <v>0</v>
      </c>
      <c r="E93" s="43">
        <f>APTS!E93+MIDTOWN!E93+Terrace!E93+Marshall!E93</f>
        <v>0</v>
      </c>
      <c r="F93" s="43">
        <f>APTS!F93+MIDTOWN!F93+Terrace!F93+Marshall!F93</f>
        <v>0</v>
      </c>
      <c r="G93" s="43">
        <f>APTS!G93+MIDTOWN!G93+Terrace!G93+Marshall!G93</f>
        <v>0</v>
      </c>
      <c r="H93" s="43">
        <f>APTS!H93+MIDTOWN!H93+Terrace!H93+Marshall!H93</f>
        <v>0</v>
      </c>
      <c r="I93" s="43">
        <f>APTS!I93+MIDTOWN!I93+Terrace!I93+Marshall!I93</f>
        <v>0</v>
      </c>
      <c r="J93" s="43">
        <f>APTS!J93+MIDTOWN!J93+Terrace!J93+Marshall!J93</f>
        <v>0</v>
      </c>
      <c r="K93" s="43">
        <f>APTS!K93+MIDTOWN!K93+Terrace!K93+Marshall!K93</f>
        <v>0</v>
      </c>
      <c r="L93" s="43">
        <f>APTS!L93+MIDTOWN!L93+Terrace!L93+Marshall!L93</f>
        <v>0</v>
      </c>
      <c r="M93" s="43">
        <f>APTS!M93+MIDTOWN!M93+Terrace!M93+Marshall!M93</f>
        <v>0</v>
      </c>
      <c r="N93" s="43">
        <f>APTS!N93+MIDTOWN!N93+Terrace!N93+Marshall!N93</f>
        <v>0</v>
      </c>
      <c r="O93" s="43">
        <f>APTS!O93+MIDTOWN!O93+Terrace!O93+Marshall!O93</f>
        <v>0</v>
      </c>
      <c r="P93" s="25">
        <f t="shared" si="19"/>
        <v>0</v>
      </c>
      <c r="Q93" s="25"/>
      <c r="R93" s="25"/>
    </row>
    <row r="94" spans="1:18" x14ac:dyDescent="0.3">
      <c r="A94" s="26"/>
      <c r="B94" s="27" t="s">
        <v>76</v>
      </c>
      <c r="C94" s="25"/>
      <c r="D94" s="43">
        <f>APTS!D94+MIDTOWN!D94+Terrace!D94+Marshall!D94</f>
        <v>0</v>
      </c>
      <c r="E94" s="43">
        <f>APTS!E94+MIDTOWN!E94+Terrace!E94+Marshall!E94</f>
        <v>0</v>
      </c>
      <c r="F94" s="43">
        <f>APTS!F94+MIDTOWN!F94+Terrace!F94+Marshall!F94</f>
        <v>0</v>
      </c>
      <c r="G94" s="43">
        <f>APTS!G94+MIDTOWN!G94+Terrace!G94+Marshall!G94</f>
        <v>0</v>
      </c>
      <c r="H94" s="43">
        <f>APTS!H94+MIDTOWN!H94+Terrace!H94+Marshall!H94</f>
        <v>0</v>
      </c>
      <c r="I94" s="43">
        <f>APTS!I94+MIDTOWN!I94+Terrace!I94+Marshall!I94</f>
        <v>0</v>
      </c>
      <c r="J94" s="43">
        <f>APTS!J94+MIDTOWN!J94+Terrace!J94+Marshall!J94</f>
        <v>0</v>
      </c>
      <c r="K94" s="43">
        <f>APTS!K94+MIDTOWN!K94+Terrace!K94+Marshall!K94</f>
        <v>0</v>
      </c>
      <c r="L94" s="43">
        <f>APTS!L94+MIDTOWN!L94+Terrace!L94+Marshall!L94</f>
        <v>0</v>
      </c>
      <c r="M94" s="43">
        <f>APTS!M94+MIDTOWN!M94+Terrace!M94+Marshall!M94</f>
        <v>0</v>
      </c>
      <c r="N94" s="43">
        <f>APTS!N94+MIDTOWN!N94+Terrace!N94+Marshall!N94</f>
        <v>0</v>
      </c>
      <c r="O94" s="43">
        <f>APTS!O94+MIDTOWN!O94+Terrace!O94+Marshall!O94</f>
        <v>0</v>
      </c>
      <c r="P94" s="25">
        <f t="shared" si="19"/>
        <v>0</v>
      </c>
      <c r="Q94" s="25"/>
      <c r="R94" s="25"/>
    </row>
    <row r="95" spans="1:18" x14ac:dyDescent="0.3">
      <c r="A95" s="26"/>
      <c r="B95" s="27" t="s">
        <v>77</v>
      </c>
      <c r="C95" s="25"/>
      <c r="D95" s="43">
        <f>APTS!D95+MIDTOWN!D95+Terrace!D95+Marshall!D95</f>
        <v>0</v>
      </c>
      <c r="E95" s="43">
        <f>APTS!E95+MIDTOWN!E95+Terrace!E95+Marshall!E95</f>
        <v>0</v>
      </c>
      <c r="F95" s="43">
        <f>APTS!F95+MIDTOWN!F95+Terrace!F95+Marshall!F95</f>
        <v>0</v>
      </c>
      <c r="G95" s="43">
        <f>APTS!G95+MIDTOWN!G95+Terrace!G95+Marshall!G95</f>
        <v>0</v>
      </c>
      <c r="H95" s="43">
        <f>APTS!H95+MIDTOWN!H95+Terrace!H95+Marshall!H95</f>
        <v>0</v>
      </c>
      <c r="I95" s="43">
        <f>APTS!I95+MIDTOWN!I95+Terrace!I95+Marshall!I95</f>
        <v>0</v>
      </c>
      <c r="J95" s="43">
        <f>APTS!J95+MIDTOWN!J95+Terrace!J95+Marshall!J95</f>
        <v>0</v>
      </c>
      <c r="K95" s="43">
        <f>APTS!K95+MIDTOWN!K95+Terrace!K95+Marshall!K95</f>
        <v>0</v>
      </c>
      <c r="L95" s="43">
        <f>APTS!L95+MIDTOWN!L95+Terrace!L95+Marshall!L95</f>
        <v>0</v>
      </c>
      <c r="M95" s="43">
        <f>APTS!M95+MIDTOWN!M95+Terrace!M95+Marshall!M95</f>
        <v>0</v>
      </c>
      <c r="N95" s="43">
        <f>APTS!N95+MIDTOWN!N95+Terrace!N95+Marshall!N95</f>
        <v>0</v>
      </c>
      <c r="O95" s="43">
        <f>APTS!O95+MIDTOWN!O95+Terrace!O95+Marshall!O95</f>
        <v>0</v>
      </c>
      <c r="P95" s="25">
        <f t="shared" si="19"/>
        <v>0</v>
      </c>
      <c r="Q95" s="25"/>
      <c r="R95" s="25"/>
    </row>
    <row r="96" spans="1:18" x14ac:dyDescent="0.3">
      <c r="A96" s="26"/>
      <c r="B96" s="27" t="s">
        <v>78</v>
      </c>
      <c r="C96" s="25"/>
      <c r="D96" s="43">
        <f>APTS!D96+MIDTOWN!D96+Terrace!D96+Marshall!D96</f>
        <v>0</v>
      </c>
      <c r="E96" s="43">
        <f>APTS!E96+MIDTOWN!E96+Terrace!E96+Marshall!E96</f>
        <v>0</v>
      </c>
      <c r="F96" s="43">
        <f>APTS!F96+MIDTOWN!F96+Terrace!F96+Marshall!F96</f>
        <v>0</v>
      </c>
      <c r="G96" s="43">
        <f>APTS!G96+MIDTOWN!G96+Terrace!G96+Marshall!G96</f>
        <v>0</v>
      </c>
      <c r="H96" s="43">
        <f>APTS!H96+MIDTOWN!H96+Terrace!H96+Marshall!H96</f>
        <v>0</v>
      </c>
      <c r="I96" s="43">
        <f>APTS!I96+MIDTOWN!I96+Terrace!I96+Marshall!I96</f>
        <v>0</v>
      </c>
      <c r="J96" s="43">
        <f>APTS!J96+MIDTOWN!J96+Terrace!J96+Marshall!J96</f>
        <v>0</v>
      </c>
      <c r="K96" s="43">
        <f>APTS!K96+MIDTOWN!K96+Terrace!K96+Marshall!K96</f>
        <v>0</v>
      </c>
      <c r="L96" s="43">
        <f>APTS!L96+MIDTOWN!L96+Terrace!L96+Marshall!L96</f>
        <v>0</v>
      </c>
      <c r="M96" s="43">
        <f>APTS!M96+MIDTOWN!M96+Terrace!M96+Marshall!M96</f>
        <v>0</v>
      </c>
      <c r="N96" s="43">
        <f>APTS!N96+MIDTOWN!N96+Terrace!N96+Marshall!N96</f>
        <v>0</v>
      </c>
      <c r="O96" s="43">
        <f>APTS!O96+MIDTOWN!O96+Terrace!O96+Marshall!O96</f>
        <v>0</v>
      </c>
      <c r="P96" s="25">
        <f t="shared" si="19"/>
        <v>0</v>
      </c>
      <c r="Q96" s="25"/>
      <c r="R96" s="25"/>
    </row>
    <row r="97" spans="1:18" x14ac:dyDescent="0.3">
      <c r="A97" s="26"/>
      <c r="B97" s="27" t="s">
        <v>79</v>
      </c>
      <c r="C97" s="25"/>
      <c r="D97" s="43">
        <f>APTS!D97+MIDTOWN!D97+Terrace!D97+Marshall!D97</f>
        <v>0</v>
      </c>
      <c r="E97" s="43">
        <f>APTS!E97+MIDTOWN!E97+Terrace!E97+Marshall!E97</f>
        <v>0</v>
      </c>
      <c r="F97" s="43">
        <f>APTS!F97+MIDTOWN!F97+Terrace!F97+Marshall!F97</f>
        <v>0</v>
      </c>
      <c r="G97" s="43">
        <f>APTS!G97+MIDTOWN!G97+Terrace!G97+Marshall!G97</f>
        <v>0</v>
      </c>
      <c r="H97" s="43">
        <f>APTS!H97+MIDTOWN!H97+Terrace!H97+Marshall!H97</f>
        <v>0</v>
      </c>
      <c r="I97" s="43">
        <f>APTS!I97+MIDTOWN!I97+Terrace!I97+Marshall!I97</f>
        <v>0</v>
      </c>
      <c r="J97" s="43">
        <f>APTS!J97+MIDTOWN!J97+Terrace!J97+Marshall!J97</f>
        <v>0</v>
      </c>
      <c r="K97" s="43">
        <f>APTS!K97+MIDTOWN!K97+Terrace!K97+Marshall!K97</f>
        <v>0</v>
      </c>
      <c r="L97" s="43">
        <f>APTS!L97+MIDTOWN!L97+Terrace!L97+Marshall!L97</f>
        <v>0</v>
      </c>
      <c r="M97" s="43">
        <f>APTS!M97+MIDTOWN!M97+Terrace!M97+Marshall!M97</f>
        <v>0</v>
      </c>
      <c r="N97" s="43">
        <f>APTS!N97+MIDTOWN!N97+Terrace!N97+Marshall!N97</f>
        <v>0</v>
      </c>
      <c r="O97" s="43">
        <f>APTS!O97+MIDTOWN!O97+Terrace!O97+Marshall!O97</f>
        <v>0</v>
      </c>
      <c r="P97" s="25">
        <f t="shared" si="19"/>
        <v>0</v>
      </c>
      <c r="Q97" s="25"/>
      <c r="R97" s="25"/>
    </row>
    <row r="98" spans="1:18" x14ac:dyDescent="0.3">
      <c r="A98" s="26"/>
      <c r="B98" s="27" t="s">
        <v>80</v>
      </c>
      <c r="C98" s="25"/>
      <c r="D98" s="43">
        <f>APTS!D98+MIDTOWN!D98+Terrace!D98+Marshall!D98</f>
        <v>0</v>
      </c>
      <c r="E98" s="43">
        <f>APTS!E98+MIDTOWN!E98+Terrace!E98+Marshall!E98</f>
        <v>0</v>
      </c>
      <c r="F98" s="43">
        <f>APTS!F98+MIDTOWN!F98+Terrace!F98+Marshall!F98</f>
        <v>0</v>
      </c>
      <c r="G98" s="43">
        <f>APTS!G98+MIDTOWN!G98+Terrace!G98+Marshall!G98</f>
        <v>0</v>
      </c>
      <c r="H98" s="43">
        <f>APTS!H98+MIDTOWN!H98+Terrace!H98+Marshall!H98</f>
        <v>0</v>
      </c>
      <c r="I98" s="43">
        <f>APTS!I98+MIDTOWN!I98+Terrace!I98+Marshall!I98</f>
        <v>0</v>
      </c>
      <c r="J98" s="43">
        <f>APTS!J98+MIDTOWN!J98+Terrace!J98+Marshall!J98</f>
        <v>0</v>
      </c>
      <c r="K98" s="43">
        <f>APTS!K98+MIDTOWN!K98+Terrace!K98+Marshall!K98</f>
        <v>0</v>
      </c>
      <c r="L98" s="43">
        <f>APTS!L98+MIDTOWN!L98+Terrace!L98+Marshall!L98</f>
        <v>0</v>
      </c>
      <c r="M98" s="43">
        <f>APTS!M98+MIDTOWN!M98+Terrace!M98+Marshall!M98</f>
        <v>0</v>
      </c>
      <c r="N98" s="43">
        <f>APTS!N98+MIDTOWN!N98+Terrace!N98+Marshall!N98</f>
        <v>0</v>
      </c>
      <c r="O98" s="43">
        <f>APTS!O98+MIDTOWN!O98+Terrace!O98+Marshall!O98</f>
        <v>0</v>
      </c>
      <c r="P98" s="25">
        <f t="shared" si="19"/>
        <v>0</v>
      </c>
      <c r="Q98" s="25"/>
      <c r="R98" s="25"/>
    </row>
    <row r="99" spans="1:18" x14ac:dyDescent="0.3">
      <c r="A99" s="26"/>
      <c r="B99" s="27" t="s">
        <v>81</v>
      </c>
      <c r="C99" s="25"/>
      <c r="D99" s="43">
        <f>APTS!D99+MIDTOWN!D99+Terrace!D99+Marshall!D99</f>
        <v>0</v>
      </c>
      <c r="E99" s="43">
        <f>APTS!E99+MIDTOWN!E99+Terrace!E99+Marshall!E99</f>
        <v>0</v>
      </c>
      <c r="F99" s="43">
        <f>APTS!F99+MIDTOWN!F99+Terrace!F99+Marshall!F99</f>
        <v>0</v>
      </c>
      <c r="G99" s="43">
        <f>APTS!G99+MIDTOWN!G99+Terrace!G99+Marshall!G99</f>
        <v>0</v>
      </c>
      <c r="H99" s="43">
        <f>APTS!H99+MIDTOWN!H99+Terrace!H99+Marshall!H99</f>
        <v>0</v>
      </c>
      <c r="I99" s="43">
        <f>APTS!I99+MIDTOWN!I99+Terrace!I99+Marshall!I99</f>
        <v>0</v>
      </c>
      <c r="J99" s="43">
        <f>APTS!J99+MIDTOWN!J99+Terrace!J99+Marshall!J99</f>
        <v>0</v>
      </c>
      <c r="K99" s="43">
        <f>APTS!K99+MIDTOWN!K99+Terrace!K99+Marshall!K99</f>
        <v>0</v>
      </c>
      <c r="L99" s="43">
        <f>APTS!L99+MIDTOWN!L99+Terrace!L99+Marshall!L99</f>
        <v>0</v>
      </c>
      <c r="M99" s="43">
        <f>APTS!M99+MIDTOWN!M99+Terrace!M99+Marshall!M99</f>
        <v>0</v>
      </c>
      <c r="N99" s="43">
        <f>APTS!N99+MIDTOWN!N99+Terrace!N99+Marshall!N99</f>
        <v>0</v>
      </c>
      <c r="O99" s="43">
        <f>APTS!O99+MIDTOWN!O99+Terrace!O99+Marshall!O99</f>
        <v>0</v>
      </c>
      <c r="P99" s="25">
        <f t="shared" si="19"/>
        <v>0</v>
      </c>
      <c r="Q99" s="25"/>
      <c r="R99" s="25"/>
    </row>
    <row r="100" spans="1:18" x14ac:dyDescent="0.3">
      <c r="A100" s="26"/>
      <c r="B100" s="27" t="s">
        <v>82</v>
      </c>
      <c r="C100" s="25"/>
      <c r="D100" s="43">
        <f>APTS!D100+MIDTOWN!D100+Terrace!D100+Marshall!D100</f>
        <v>0</v>
      </c>
      <c r="E100" s="43">
        <f>APTS!E100+MIDTOWN!E100+Terrace!E100+Marshall!E100</f>
        <v>0</v>
      </c>
      <c r="F100" s="43">
        <f>APTS!F100+MIDTOWN!F100+Terrace!F100+Marshall!F100</f>
        <v>0</v>
      </c>
      <c r="G100" s="43">
        <f>APTS!G100+MIDTOWN!G100+Terrace!G100+Marshall!G100</f>
        <v>0</v>
      </c>
      <c r="H100" s="43">
        <f>APTS!H100+MIDTOWN!H100+Terrace!H100+Marshall!H100</f>
        <v>0</v>
      </c>
      <c r="I100" s="43">
        <f>APTS!I100+MIDTOWN!I100+Terrace!I100+Marshall!I100</f>
        <v>0</v>
      </c>
      <c r="J100" s="43">
        <f>APTS!J100+MIDTOWN!J100+Terrace!J100+Marshall!J100</f>
        <v>0</v>
      </c>
      <c r="K100" s="43">
        <f>APTS!K100+MIDTOWN!K100+Terrace!K100+Marshall!K100</f>
        <v>0</v>
      </c>
      <c r="L100" s="43">
        <f>APTS!L100+MIDTOWN!L100+Terrace!L100+Marshall!L100</f>
        <v>0</v>
      </c>
      <c r="M100" s="43">
        <f>APTS!M100+MIDTOWN!M100+Terrace!M100+Marshall!M100</f>
        <v>0</v>
      </c>
      <c r="N100" s="43">
        <f>APTS!N100+MIDTOWN!N100+Terrace!N100+Marshall!N100</f>
        <v>0</v>
      </c>
      <c r="O100" s="43">
        <f>APTS!O100+MIDTOWN!O100+Terrace!O100+Marshall!O100</f>
        <v>0</v>
      </c>
      <c r="P100" s="25">
        <f t="shared" si="19"/>
        <v>0</v>
      </c>
      <c r="Q100" s="25"/>
      <c r="R100" s="25"/>
    </row>
    <row r="101" spans="1:18" x14ac:dyDescent="0.3">
      <c r="A101" s="26"/>
      <c r="B101" s="27" t="s">
        <v>83</v>
      </c>
      <c r="C101" s="25"/>
      <c r="D101" s="43">
        <f>APTS!D101+MIDTOWN!D101+Terrace!D101+Marshall!D101</f>
        <v>0</v>
      </c>
      <c r="E101" s="43">
        <f>APTS!E101+MIDTOWN!E101+Terrace!E101+Marshall!E101</f>
        <v>0</v>
      </c>
      <c r="F101" s="43">
        <f>APTS!F101+MIDTOWN!F101+Terrace!F101+Marshall!F101</f>
        <v>0</v>
      </c>
      <c r="G101" s="43">
        <f>APTS!G101+MIDTOWN!G101+Terrace!G101+Marshall!G101</f>
        <v>0</v>
      </c>
      <c r="H101" s="43">
        <f>APTS!H101+MIDTOWN!H101+Terrace!H101+Marshall!H101</f>
        <v>0</v>
      </c>
      <c r="I101" s="43">
        <f>APTS!I101+MIDTOWN!I101+Terrace!I101+Marshall!I101</f>
        <v>0</v>
      </c>
      <c r="J101" s="43">
        <f>APTS!J101+MIDTOWN!J101+Terrace!J101+Marshall!J101</f>
        <v>0</v>
      </c>
      <c r="K101" s="43">
        <f>APTS!K101+MIDTOWN!K101+Terrace!K101+Marshall!K101</f>
        <v>0</v>
      </c>
      <c r="L101" s="43">
        <f>APTS!L101+MIDTOWN!L101+Terrace!L101+Marshall!L101</f>
        <v>0</v>
      </c>
      <c r="M101" s="43">
        <f>APTS!M101+MIDTOWN!M101+Terrace!M101+Marshall!M101</f>
        <v>0</v>
      </c>
      <c r="N101" s="43">
        <f>APTS!N101+MIDTOWN!N101+Terrace!N101+Marshall!N101</f>
        <v>0</v>
      </c>
      <c r="O101" s="43">
        <f>APTS!O101+MIDTOWN!O101+Terrace!O101+Marshall!O101</f>
        <v>0</v>
      </c>
      <c r="P101" s="25">
        <f t="shared" si="19"/>
        <v>0</v>
      </c>
      <c r="Q101" s="25"/>
      <c r="R101" s="25"/>
    </row>
    <row r="102" spans="1:18" x14ac:dyDescent="0.3">
      <c r="A102" s="26"/>
      <c r="B102" s="26"/>
      <c r="C102" s="25"/>
      <c r="D102" s="43">
        <f>APTS!D102+MIDTOWN!D102+Terrace!D102+Marshall!D102</f>
        <v>0</v>
      </c>
      <c r="E102" s="43">
        <f>APTS!E102+MIDTOWN!E102+Terrace!E102+Marshall!E102</f>
        <v>0</v>
      </c>
      <c r="F102" s="43">
        <f>APTS!F102+MIDTOWN!F102+Terrace!F102+Marshall!F102</f>
        <v>0</v>
      </c>
      <c r="G102" s="43">
        <f>APTS!G102+MIDTOWN!G102+Terrace!G102+Marshall!G102</f>
        <v>0</v>
      </c>
      <c r="H102" s="43">
        <f>APTS!H102+MIDTOWN!H102+Terrace!H102+Marshall!H102</f>
        <v>0</v>
      </c>
      <c r="I102" s="43">
        <f>APTS!I102+MIDTOWN!I102+Terrace!I102+Marshall!I102</f>
        <v>0</v>
      </c>
      <c r="J102" s="43">
        <f>APTS!J102+MIDTOWN!J102+Terrace!J102+Marshall!J102</f>
        <v>0</v>
      </c>
      <c r="K102" s="43">
        <f>APTS!K102+MIDTOWN!K102+Terrace!K102+Marshall!K102</f>
        <v>0</v>
      </c>
      <c r="L102" s="43">
        <f>APTS!L102+MIDTOWN!L102+Terrace!L102+Marshall!L102</f>
        <v>0</v>
      </c>
      <c r="M102" s="43">
        <f>APTS!M102+MIDTOWN!M102+Terrace!M102+Marshall!M102</f>
        <v>0</v>
      </c>
      <c r="N102" s="43">
        <f>APTS!N102+MIDTOWN!N102+Terrace!N102+Marshall!N102</f>
        <v>0</v>
      </c>
      <c r="O102" s="43">
        <f>APTS!O102+MIDTOWN!O102+Terrace!O102+Marshall!O102</f>
        <v>0</v>
      </c>
      <c r="P102" s="25">
        <f t="shared" si="19"/>
        <v>0</v>
      </c>
      <c r="Q102" s="25"/>
      <c r="R102" s="25"/>
    </row>
    <row r="103" spans="1:18" x14ac:dyDescent="0.3">
      <c r="A103" s="26"/>
      <c r="B103" s="27"/>
      <c r="C103" s="25"/>
      <c r="D103" s="43">
        <f>APTS!D103+MIDTOWN!D103+Terrace!D103+Marshall!D103</f>
        <v>0</v>
      </c>
      <c r="E103" s="43">
        <f>APTS!E103+MIDTOWN!E103+Terrace!E103+Marshall!E103</f>
        <v>0</v>
      </c>
      <c r="F103" s="43">
        <f>APTS!F103+MIDTOWN!F103+Terrace!F103+Marshall!F103</f>
        <v>0</v>
      </c>
      <c r="G103" s="43">
        <f>APTS!G103+MIDTOWN!G103+Terrace!G103+Marshall!G103</f>
        <v>0</v>
      </c>
      <c r="H103" s="43">
        <f>APTS!H103+MIDTOWN!H103+Terrace!H103+Marshall!H103</f>
        <v>0</v>
      </c>
      <c r="I103" s="43">
        <f>APTS!I103+MIDTOWN!I103+Terrace!I103+Marshall!I103</f>
        <v>0</v>
      </c>
      <c r="J103" s="43">
        <f>APTS!J103+MIDTOWN!J103+Terrace!J103+Marshall!J103</f>
        <v>0</v>
      </c>
      <c r="K103" s="43">
        <f>APTS!K103+MIDTOWN!K103+Terrace!K103+Marshall!K103</f>
        <v>0</v>
      </c>
      <c r="L103" s="43">
        <f>APTS!L103+MIDTOWN!L103+Terrace!L103+Marshall!L103</f>
        <v>0</v>
      </c>
      <c r="M103" s="43">
        <f>APTS!M103+MIDTOWN!M103+Terrace!M103+Marshall!M103</f>
        <v>0</v>
      </c>
      <c r="N103" s="43">
        <f>APTS!N103+MIDTOWN!N103+Terrace!N103+Marshall!N103</f>
        <v>0</v>
      </c>
      <c r="O103" s="43">
        <f>APTS!O103+MIDTOWN!O103+Terrace!O103+Marshall!O103</f>
        <v>0</v>
      </c>
      <c r="P103" s="25">
        <f t="shared" si="19"/>
        <v>0</v>
      </c>
      <c r="Q103" s="25"/>
      <c r="R103" s="25"/>
    </row>
    <row r="104" spans="1:18" x14ac:dyDescent="0.3">
      <c r="A104" s="26"/>
      <c r="B104" s="27"/>
      <c r="C104" s="25"/>
      <c r="D104" s="43">
        <f>APTS!D104+MIDTOWN!D104+Terrace!D104+Marshall!D104</f>
        <v>0</v>
      </c>
      <c r="E104" s="43">
        <f>APTS!E104+MIDTOWN!E104+Terrace!E104+Marshall!E104</f>
        <v>0</v>
      </c>
      <c r="F104" s="43">
        <f>APTS!F104+MIDTOWN!F104+Terrace!F104+Marshall!F104</f>
        <v>0</v>
      </c>
      <c r="G104" s="43">
        <f>APTS!G104+MIDTOWN!G104+Terrace!G104+Marshall!G104</f>
        <v>0</v>
      </c>
      <c r="H104" s="43">
        <f>APTS!H104+MIDTOWN!H104+Terrace!H104+Marshall!H104</f>
        <v>0</v>
      </c>
      <c r="I104" s="43">
        <f>APTS!I104+MIDTOWN!I104+Terrace!I104+Marshall!I104</f>
        <v>0</v>
      </c>
      <c r="J104" s="43">
        <f>APTS!J104+MIDTOWN!J104+Terrace!J104+Marshall!J104</f>
        <v>0</v>
      </c>
      <c r="K104" s="43">
        <f>APTS!K104+MIDTOWN!K104+Terrace!K104+Marshall!K104</f>
        <v>0</v>
      </c>
      <c r="L104" s="43">
        <f>APTS!L104+MIDTOWN!L104+Terrace!L104+Marshall!L104</f>
        <v>0</v>
      </c>
      <c r="M104" s="43">
        <f>APTS!M104+MIDTOWN!M104+Terrace!M104+Marshall!M104</f>
        <v>0</v>
      </c>
      <c r="N104" s="43">
        <f>APTS!N104+MIDTOWN!N104+Terrace!N104+Marshall!N104</f>
        <v>0</v>
      </c>
      <c r="O104" s="43">
        <f>APTS!O104+MIDTOWN!O104+Terrace!O104+Marshall!O104</f>
        <v>0</v>
      </c>
      <c r="P104" s="25">
        <f t="shared" si="19"/>
        <v>0</v>
      </c>
      <c r="Q104" s="25"/>
      <c r="R104" s="25"/>
    </row>
    <row r="105" spans="1:18" x14ac:dyDescent="0.3">
      <c r="A105" s="194" t="s">
        <v>84</v>
      </c>
      <c r="B105" s="194"/>
      <c r="C105" s="25"/>
      <c r="D105" s="30">
        <f t="shared" ref="D105:I105" si="20">SUM(D86:D104)</f>
        <v>483.33333333333337</v>
      </c>
      <c r="E105" s="30">
        <f t="shared" si="20"/>
        <v>483.33333333333337</v>
      </c>
      <c r="F105" s="30">
        <f t="shared" si="20"/>
        <v>483.33333333333337</v>
      </c>
      <c r="G105" s="30">
        <f t="shared" si="20"/>
        <v>483.33333333333337</v>
      </c>
      <c r="H105" s="30">
        <f t="shared" si="20"/>
        <v>483.33333333333337</v>
      </c>
      <c r="I105" s="30">
        <f t="shared" si="20"/>
        <v>483.33333333333337</v>
      </c>
      <c r="J105" s="30">
        <f t="shared" ref="J105:P105" si="21">SUM(J86:J104)</f>
        <v>483.33333333333337</v>
      </c>
      <c r="K105" s="30">
        <f t="shared" si="21"/>
        <v>483.33333333333337</v>
      </c>
      <c r="L105" s="30">
        <f t="shared" si="21"/>
        <v>483.33333333333337</v>
      </c>
      <c r="M105" s="30">
        <f t="shared" si="21"/>
        <v>483.33333333333337</v>
      </c>
      <c r="N105" s="30">
        <f t="shared" si="21"/>
        <v>483.33333333333337</v>
      </c>
      <c r="O105" s="30">
        <f t="shared" si="21"/>
        <v>483.33333333333337</v>
      </c>
      <c r="P105" s="30">
        <f t="shared" si="21"/>
        <v>5800</v>
      </c>
      <c r="Q105" s="29">
        <f>SUM(P86:P104)-P105</f>
        <v>0</v>
      </c>
      <c r="R105" s="25"/>
    </row>
    <row r="106" spans="1:18" x14ac:dyDescent="0.3">
      <c r="A106" s="26"/>
      <c r="B106" s="27" t="s">
        <v>85</v>
      </c>
      <c r="C106" s="25"/>
      <c r="D106" s="30">
        <f t="shared" ref="D106:I106" si="22">D105+D84+D53+D43</f>
        <v>145597.32060607334</v>
      </c>
      <c r="E106" s="30">
        <f t="shared" si="22"/>
        <v>142897.42888011373</v>
      </c>
      <c r="F106" s="30">
        <f t="shared" si="22"/>
        <v>210697.22665350392</v>
      </c>
      <c r="G106" s="30">
        <f t="shared" si="22"/>
        <v>142897.42888011373</v>
      </c>
      <c r="H106" s="30">
        <f t="shared" si="22"/>
        <v>142897.42888011373</v>
      </c>
      <c r="I106" s="30">
        <f t="shared" si="22"/>
        <v>143196.42888011373</v>
      </c>
      <c r="J106" s="30">
        <f t="shared" ref="J106:P106" si="23">J105+J84+J53+J43</f>
        <v>142897.42888011373</v>
      </c>
      <c r="K106" s="30">
        <f t="shared" si="23"/>
        <v>210398.22665350392</v>
      </c>
      <c r="L106" s="30">
        <f t="shared" si="23"/>
        <v>143196.42888011373</v>
      </c>
      <c r="M106" s="30">
        <f t="shared" si="23"/>
        <v>142897.42888011373</v>
      </c>
      <c r="N106" s="30">
        <f t="shared" si="23"/>
        <v>142897.42888011373</v>
      </c>
      <c r="O106" s="30">
        <f t="shared" si="23"/>
        <v>143196.42888011373</v>
      </c>
      <c r="P106" s="30">
        <f t="shared" si="23"/>
        <v>1853666.633834105</v>
      </c>
      <c r="Q106" s="25"/>
      <c r="R106" s="25"/>
    </row>
    <row r="107" spans="1:18" x14ac:dyDescent="0.3">
      <c r="A107" s="26"/>
      <c r="B107" s="27" t="s">
        <v>86</v>
      </c>
      <c r="C107" s="25"/>
      <c r="D107" s="43"/>
      <c r="E107" s="43"/>
      <c r="F107" s="43"/>
      <c r="G107" s="43"/>
      <c r="H107" s="43"/>
      <c r="I107" s="43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 x14ac:dyDescent="0.3">
      <c r="A108" s="25"/>
      <c r="B108" s="25"/>
      <c r="C108" s="25"/>
      <c r="D108" s="43"/>
      <c r="E108" s="43"/>
      <c r="F108" s="43"/>
      <c r="G108" s="43"/>
      <c r="H108" s="43"/>
      <c r="I108" s="43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 ht="15" thickBot="1" x14ac:dyDescent="0.35">
      <c r="A109" s="25"/>
      <c r="B109" s="25" t="s">
        <v>112</v>
      </c>
      <c r="C109" s="25"/>
      <c r="D109" s="31">
        <f t="shared" ref="D109:I109" si="24">D32-D106-D107</f>
        <v>28745.989328447235</v>
      </c>
      <c r="E109" s="31">
        <f t="shared" si="24"/>
        <v>12317.415576872561</v>
      </c>
      <c r="F109" s="31">
        <f t="shared" si="24"/>
        <v>-24086.306718983367</v>
      </c>
      <c r="G109" s="31">
        <f t="shared" si="24"/>
        <v>20553.725895228737</v>
      </c>
      <c r="H109" s="31">
        <f t="shared" si="24"/>
        <v>24671.88105440684</v>
      </c>
      <c r="I109" s="31">
        <f t="shared" si="24"/>
        <v>20255.725895228737</v>
      </c>
      <c r="J109" s="31">
        <f t="shared" ref="J109:P109" si="25">J32-J106-J107</f>
        <v>35886.88105440684</v>
      </c>
      <c r="K109" s="31">
        <f t="shared" si="25"/>
        <v>-38296.916718983353</v>
      </c>
      <c r="L109" s="31">
        <f t="shared" si="25"/>
        <v>24786.725895228737</v>
      </c>
      <c r="M109" s="31">
        <f t="shared" si="25"/>
        <v>29203.88105440684</v>
      </c>
      <c r="N109" s="31">
        <f t="shared" si="25"/>
        <v>25085.725895228737</v>
      </c>
      <c r="O109" s="31">
        <f t="shared" si="25"/>
        <v>61115.267888653412</v>
      </c>
      <c r="P109" s="31">
        <f t="shared" si="25"/>
        <v>220239.9961001419</v>
      </c>
      <c r="Q109" s="25"/>
      <c r="R109" s="25"/>
    </row>
    <row r="110" spans="1:18" ht="15" thickTop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9"/>
  <sheetViews>
    <sheetView workbookViewId="0">
      <selection activeCell="B1" sqref="B1:V1048576"/>
    </sheetView>
  </sheetViews>
  <sheetFormatPr defaultRowHeight="14.4" x14ac:dyDescent="0.3"/>
  <cols>
    <col min="2" max="21" width="8.88671875" hidden="1" customWidth="1"/>
    <col min="22" max="22" width="0" hidden="1" customWidth="1"/>
  </cols>
  <sheetData>
    <row r="1" spans="1:35" x14ac:dyDescent="0.3">
      <c r="A1" s="58"/>
      <c r="B1" s="58"/>
      <c r="C1" s="141"/>
      <c r="D1" s="141"/>
      <c r="E1" s="141"/>
      <c r="F1" s="141"/>
      <c r="G1" s="24"/>
      <c r="H1" s="24"/>
      <c r="I1" s="33" t="s">
        <v>100</v>
      </c>
      <c r="J1" s="33" t="s">
        <v>101</v>
      </c>
      <c r="K1" s="33" t="s">
        <v>102</v>
      </c>
      <c r="L1" s="33" t="s">
        <v>103</v>
      </c>
      <c r="M1" s="33" t="s">
        <v>148</v>
      </c>
      <c r="N1" s="33" t="s">
        <v>105</v>
      </c>
      <c r="O1" s="33" t="s">
        <v>106</v>
      </c>
      <c r="P1" s="33" t="s">
        <v>107</v>
      </c>
      <c r="Q1" s="33" t="s">
        <v>108</v>
      </c>
      <c r="R1" s="33" t="s">
        <v>109</v>
      </c>
      <c r="S1" s="33" t="s">
        <v>110</v>
      </c>
      <c r="T1" s="33" t="s">
        <v>111</v>
      </c>
      <c r="U1" s="43"/>
      <c r="V1" s="42"/>
      <c r="W1" s="42"/>
      <c r="X1" s="43"/>
      <c r="Y1" s="43"/>
      <c r="Z1" s="43"/>
      <c r="AA1" s="43"/>
      <c r="AB1" s="42"/>
      <c r="AC1" s="42"/>
      <c r="AD1" s="42"/>
      <c r="AE1" s="42"/>
      <c r="AF1" s="42"/>
      <c r="AG1" s="42"/>
      <c r="AH1" s="42"/>
      <c r="AI1" s="42"/>
    </row>
    <row r="2" spans="1:35" x14ac:dyDescent="0.3">
      <c r="A2" s="150" t="s">
        <v>157</v>
      </c>
      <c r="B2" s="58"/>
      <c r="C2" s="141"/>
      <c r="D2" s="141"/>
      <c r="E2" s="141"/>
      <c r="F2" s="141"/>
      <c r="G2" s="24"/>
      <c r="H2" s="24"/>
      <c r="I2" s="32">
        <v>2</v>
      </c>
      <c r="J2" s="32">
        <v>2</v>
      </c>
      <c r="K2" s="32">
        <v>3</v>
      </c>
      <c r="L2" s="32">
        <v>2</v>
      </c>
      <c r="M2" s="32">
        <v>2</v>
      </c>
      <c r="N2" s="32">
        <v>2</v>
      </c>
      <c r="O2" s="32">
        <v>2</v>
      </c>
      <c r="P2" s="32">
        <v>3</v>
      </c>
      <c r="Q2" s="32">
        <v>2</v>
      </c>
      <c r="R2" s="32">
        <v>2</v>
      </c>
      <c r="S2" s="32">
        <v>2</v>
      </c>
      <c r="T2" s="32">
        <v>2</v>
      </c>
      <c r="U2" s="43"/>
      <c r="V2" s="42"/>
      <c r="W2" s="42"/>
      <c r="X2" s="43" t="s">
        <v>336</v>
      </c>
      <c r="Y2" s="43" t="s">
        <v>337</v>
      </c>
      <c r="Z2" s="43" t="s">
        <v>338</v>
      </c>
      <c r="AA2" s="43" t="s">
        <v>339</v>
      </c>
      <c r="AB2" s="42"/>
      <c r="AC2" s="42"/>
      <c r="AD2" s="42"/>
      <c r="AE2" s="42"/>
      <c r="AF2" s="42"/>
      <c r="AG2" s="42"/>
      <c r="AH2" s="42"/>
      <c r="AI2" s="42"/>
    </row>
    <row r="3" spans="1:35" x14ac:dyDescent="0.3">
      <c r="A3" s="58"/>
      <c r="B3" s="150"/>
      <c r="C3" s="141"/>
      <c r="D3" s="141"/>
      <c r="E3" s="141" t="s">
        <v>99</v>
      </c>
      <c r="F3" s="141"/>
      <c r="G3" s="24"/>
      <c r="H3" s="24"/>
      <c r="I3" s="34">
        <v>1.02</v>
      </c>
      <c r="J3" s="34">
        <v>1.02</v>
      </c>
      <c r="K3" s="34">
        <v>1.02</v>
      </c>
      <c r="L3" s="34">
        <v>1.02</v>
      </c>
      <c r="M3" s="34">
        <v>1.02</v>
      </c>
      <c r="N3" s="34">
        <v>1.02</v>
      </c>
      <c r="O3" s="34">
        <v>1.02</v>
      </c>
      <c r="P3" s="34">
        <v>1.02</v>
      </c>
      <c r="Q3" s="34">
        <v>1.02</v>
      </c>
      <c r="R3" s="34">
        <v>1.02</v>
      </c>
      <c r="S3" s="34">
        <v>1.02</v>
      </c>
      <c r="T3" s="34">
        <v>1.02</v>
      </c>
      <c r="U3" s="43"/>
      <c r="V3" s="42"/>
      <c r="W3" s="42"/>
      <c r="X3" s="43">
        <f>'[1]Health insurance'!M14</f>
        <v>330475</v>
      </c>
      <c r="Y3" s="43">
        <f>'[1]Health insurance'!D2</f>
        <v>0</v>
      </c>
      <c r="Z3" s="43">
        <f>'[1]Health insurance'!D4</f>
        <v>23328</v>
      </c>
      <c r="AA3" s="43">
        <f>'[1]Health insurance'!D6</f>
        <v>42609.600000000006</v>
      </c>
      <c r="AB3" s="42"/>
      <c r="AC3" s="42"/>
      <c r="AD3" s="42"/>
      <c r="AE3" s="42"/>
      <c r="AF3" s="42"/>
      <c r="AG3" s="42"/>
      <c r="AH3" s="42"/>
      <c r="AI3" s="42"/>
    </row>
    <row r="4" spans="1:35" x14ac:dyDescent="0.3">
      <c r="A4" s="58"/>
      <c r="B4" s="150"/>
      <c r="C4" s="141"/>
      <c r="D4" s="141"/>
      <c r="E4" s="141"/>
      <c r="F4" s="141"/>
      <c r="G4" s="24"/>
      <c r="H4" s="24"/>
      <c r="I4" s="34">
        <v>1.02</v>
      </c>
      <c r="J4" s="34">
        <v>1.02</v>
      </c>
      <c r="K4" s="34">
        <v>1.02</v>
      </c>
      <c r="L4" s="34">
        <v>1.02</v>
      </c>
      <c r="M4" s="34">
        <v>1.02</v>
      </c>
      <c r="N4" s="34">
        <v>1.02</v>
      </c>
      <c r="O4" s="34">
        <v>1.02</v>
      </c>
      <c r="P4" s="34">
        <v>1.02</v>
      </c>
      <c r="Q4" s="34">
        <v>1.02</v>
      </c>
      <c r="R4" s="34">
        <v>1.02</v>
      </c>
      <c r="S4" s="34">
        <v>1.02</v>
      </c>
      <c r="T4" s="34">
        <v>1.02</v>
      </c>
      <c r="U4" s="43"/>
      <c r="V4" s="42"/>
      <c r="W4" s="42"/>
      <c r="X4" s="43"/>
      <c r="Y4" s="43"/>
      <c r="Z4" s="43"/>
      <c r="AA4" s="43"/>
      <c r="AB4" s="42"/>
      <c r="AC4" s="42"/>
      <c r="AD4" s="42"/>
      <c r="AE4" s="42"/>
      <c r="AF4" s="42"/>
      <c r="AG4" s="42"/>
      <c r="AH4" s="42"/>
      <c r="AI4" s="42"/>
    </row>
    <row r="5" spans="1:35" x14ac:dyDescent="0.3">
      <c r="A5" s="58"/>
      <c r="B5" s="150"/>
      <c r="C5" s="141"/>
      <c r="D5" s="141"/>
      <c r="E5" s="141"/>
      <c r="F5" s="41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2"/>
      <c r="W5" s="42"/>
      <c r="X5" s="43"/>
      <c r="Y5" s="43"/>
      <c r="Z5" s="43"/>
      <c r="AA5" s="43"/>
      <c r="AB5" s="42"/>
      <c r="AC5" s="42"/>
      <c r="AD5" s="42"/>
      <c r="AE5" s="42"/>
      <c r="AF5" s="42"/>
      <c r="AG5" s="42"/>
      <c r="AH5" s="42"/>
      <c r="AI5" s="42"/>
    </row>
    <row r="6" spans="1:35" x14ac:dyDescent="0.3">
      <c r="A6" s="58"/>
      <c r="B6" s="58" t="s">
        <v>141</v>
      </c>
      <c r="C6" s="141"/>
      <c r="D6" s="141"/>
      <c r="E6" s="141"/>
      <c r="F6" s="41">
        <v>5038.47</v>
      </c>
      <c r="G6" s="41">
        <f>F6*-0.2</f>
        <v>-1007.6940000000001</v>
      </c>
      <c r="H6" s="41">
        <f>SUM(F6:G6)</f>
        <v>4030.7760000000003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58"/>
      <c r="W6" s="58"/>
      <c r="X6" s="41"/>
      <c r="Y6" s="41"/>
      <c r="Z6" s="41"/>
      <c r="AA6" s="41"/>
      <c r="AB6" s="58"/>
      <c r="AC6" s="58"/>
      <c r="AD6" s="58"/>
      <c r="AE6" s="58"/>
      <c r="AF6" s="58"/>
      <c r="AG6" s="58"/>
      <c r="AH6" s="58"/>
      <c r="AI6" s="42"/>
    </row>
    <row r="7" spans="1:35" x14ac:dyDescent="0.3">
      <c r="A7" s="58"/>
      <c r="B7" s="58" t="s">
        <v>140</v>
      </c>
      <c r="C7" s="141"/>
      <c r="D7" s="141"/>
      <c r="E7" s="141"/>
      <c r="F7" s="41">
        <v>3502.83</v>
      </c>
      <c r="G7" s="41"/>
      <c r="H7" s="41">
        <f>SUM(F7:G7)</f>
        <v>3502.83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58"/>
      <c r="W7" s="58"/>
      <c r="X7" s="41"/>
      <c r="Y7" s="41"/>
      <c r="Z7" s="41"/>
      <c r="AA7" s="41"/>
      <c r="AB7" s="58"/>
      <c r="AC7" s="58"/>
      <c r="AD7" s="58"/>
      <c r="AE7" s="58"/>
      <c r="AF7" s="58"/>
      <c r="AG7" s="58"/>
      <c r="AH7" s="58"/>
      <c r="AI7" s="42"/>
    </row>
    <row r="8" spans="1:35" x14ac:dyDescent="0.3">
      <c r="A8" s="58"/>
      <c r="B8" s="58" t="s">
        <v>142</v>
      </c>
      <c r="C8" s="141"/>
      <c r="D8" s="141"/>
      <c r="E8" s="141" t="s">
        <v>340</v>
      </c>
      <c r="F8" s="41">
        <f>(21.012*80)+(21.012*4*1.5)</f>
        <v>1807.0320000000002</v>
      </c>
      <c r="G8" s="41"/>
      <c r="H8" s="41">
        <f>SUM(F8:G8)</f>
        <v>1807.0320000000002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58"/>
      <c r="W8" s="58"/>
      <c r="X8" s="41"/>
      <c r="Y8" s="41"/>
      <c r="Z8" s="41"/>
      <c r="AA8" s="41"/>
      <c r="AB8" s="58"/>
      <c r="AC8" s="58"/>
      <c r="AD8" s="58"/>
      <c r="AE8" s="58"/>
      <c r="AF8" s="58"/>
      <c r="AG8" s="58"/>
      <c r="AH8" s="58"/>
      <c r="AI8" s="42"/>
    </row>
    <row r="9" spans="1:35" x14ac:dyDescent="0.3">
      <c r="A9" s="58"/>
      <c r="B9" s="58" t="s">
        <v>99</v>
      </c>
      <c r="C9" s="141"/>
      <c r="D9" s="141"/>
      <c r="E9" s="141"/>
      <c r="F9" s="41"/>
      <c r="G9" s="41"/>
      <c r="H9" s="41">
        <f>SUM(F9:G9)</f>
        <v>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58"/>
      <c r="W9" s="58"/>
      <c r="X9" s="41"/>
      <c r="Y9" s="41"/>
      <c r="Z9" s="41"/>
      <c r="AA9" s="41"/>
      <c r="AB9" s="58"/>
      <c r="AC9" s="58"/>
      <c r="AD9" s="58"/>
      <c r="AE9" s="58"/>
      <c r="AF9" s="58"/>
      <c r="AG9" s="58"/>
      <c r="AH9" s="58"/>
      <c r="AI9" s="42"/>
    </row>
    <row r="10" spans="1:35" x14ac:dyDescent="0.3">
      <c r="A10" s="58"/>
      <c r="B10" s="58"/>
      <c r="C10" s="141"/>
      <c r="D10" s="141"/>
      <c r="E10" s="141"/>
      <c r="F10" s="151">
        <f>SUM(F6:F9)</f>
        <v>10348.331999999999</v>
      </c>
      <c r="G10" s="151" t="s">
        <v>99</v>
      </c>
      <c r="H10" s="151">
        <f>SUM(H6:H9)</f>
        <v>9340.637999999999</v>
      </c>
      <c r="I10" s="152">
        <f>$H$10*I2*I3</f>
        <v>19054.901519999999</v>
      </c>
      <c r="J10" s="152">
        <f t="shared" ref="J10:T10" si="0">$H$10*J2*J3</f>
        <v>19054.901519999999</v>
      </c>
      <c r="K10" s="152">
        <f t="shared" si="0"/>
        <v>28582.352279999999</v>
      </c>
      <c r="L10" s="152">
        <f t="shared" si="0"/>
        <v>19054.901519999999</v>
      </c>
      <c r="M10" s="152">
        <f t="shared" si="0"/>
        <v>19054.901519999999</v>
      </c>
      <c r="N10" s="152">
        <f t="shared" si="0"/>
        <v>19054.901519999999</v>
      </c>
      <c r="O10" s="152">
        <f t="shared" si="0"/>
        <v>19054.901519999999</v>
      </c>
      <c r="P10" s="152">
        <f t="shared" si="0"/>
        <v>28582.352279999999</v>
      </c>
      <c r="Q10" s="152">
        <f t="shared" si="0"/>
        <v>19054.901519999999</v>
      </c>
      <c r="R10" s="152">
        <f t="shared" si="0"/>
        <v>19054.901519999999</v>
      </c>
      <c r="S10" s="152">
        <f t="shared" si="0"/>
        <v>19054.901519999999</v>
      </c>
      <c r="T10" s="152">
        <f t="shared" si="0"/>
        <v>19054.901519999999</v>
      </c>
      <c r="U10" s="153">
        <f>SUM(I10:T10)</f>
        <v>247713.71976000001</v>
      </c>
      <c r="V10" s="58"/>
      <c r="W10" s="58">
        <f>U10/$U$118</f>
        <v>8.9367306612790215E-2</v>
      </c>
      <c r="X10" s="41">
        <f>($X$3/12)*W10</f>
        <v>2461.1383877384869</v>
      </c>
      <c r="Y10" s="41">
        <f>($Y$3)*W10</f>
        <v>0</v>
      </c>
      <c r="Z10" s="41">
        <f>$Z$3*W10/12</f>
        <v>173.73004405526419</v>
      </c>
      <c r="AA10" s="41">
        <f>$AA$3*W10/12</f>
        <v>317.32543232069554</v>
      </c>
      <c r="AB10" s="58"/>
      <c r="AC10" s="58"/>
      <c r="AD10" s="58"/>
      <c r="AE10" s="58"/>
      <c r="AF10" s="58"/>
      <c r="AG10" s="58"/>
      <c r="AH10" s="58"/>
      <c r="AI10" s="42"/>
    </row>
    <row r="11" spans="1:35" x14ac:dyDescent="0.3">
      <c r="A11" s="58"/>
      <c r="B11" s="58"/>
      <c r="C11" s="141"/>
      <c r="D11" s="141"/>
      <c r="E11" s="1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58"/>
      <c r="W11" s="58"/>
      <c r="X11" s="41"/>
      <c r="Y11" s="41"/>
      <c r="Z11" s="41"/>
      <c r="AA11" s="41"/>
      <c r="AB11" s="58"/>
      <c r="AC11" s="58"/>
      <c r="AD11" s="58"/>
      <c r="AE11" s="58"/>
      <c r="AF11" s="58"/>
      <c r="AG11" s="58"/>
      <c r="AH11" s="58"/>
      <c r="AI11" s="42"/>
    </row>
    <row r="12" spans="1:35" x14ac:dyDescent="0.3">
      <c r="A12" s="150" t="s">
        <v>145</v>
      </c>
      <c r="B12" s="58"/>
      <c r="C12" s="141"/>
      <c r="D12" s="141"/>
      <c r="E12" s="1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58"/>
      <c r="W12" s="58"/>
      <c r="X12" s="41"/>
      <c r="Y12" s="41"/>
      <c r="Z12" s="41"/>
      <c r="AA12" s="41"/>
      <c r="AB12" s="58"/>
      <c r="AC12" s="58"/>
      <c r="AD12" s="58"/>
      <c r="AE12" s="58"/>
      <c r="AF12" s="58"/>
      <c r="AG12" s="58"/>
      <c r="AH12" s="58"/>
      <c r="AI12" s="42"/>
    </row>
    <row r="13" spans="1:35" x14ac:dyDescent="0.3">
      <c r="A13" s="58"/>
      <c r="B13" s="154" t="s">
        <v>341</v>
      </c>
      <c r="C13" s="155"/>
      <c r="D13" s="155"/>
      <c r="E13" s="155"/>
      <c r="F13" s="41">
        <v>3246.36</v>
      </c>
      <c r="G13" s="41">
        <f>-0.2*F13</f>
        <v>-649.27200000000005</v>
      </c>
      <c r="H13" s="41">
        <f>SUM(F13:G13)</f>
        <v>2597.0880000000002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58"/>
      <c r="W13" s="58"/>
      <c r="X13" s="41"/>
      <c r="Y13" s="41"/>
      <c r="Z13" s="41"/>
      <c r="AA13" s="41"/>
      <c r="AB13" s="58"/>
      <c r="AC13" s="58"/>
      <c r="AD13" s="58"/>
      <c r="AE13" s="58"/>
      <c r="AF13" s="58"/>
      <c r="AG13" s="58"/>
      <c r="AH13" s="58"/>
      <c r="AI13" s="42"/>
    </row>
    <row r="14" spans="1:35" x14ac:dyDescent="0.3">
      <c r="A14" s="58"/>
      <c r="B14" s="58" t="s">
        <v>166</v>
      </c>
      <c r="C14" s="141"/>
      <c r="D14" s="141"/>
      <c r="E14" s="141"/>
      <c r="F14" s="41">
        <v>2115.39</v>
      </c>
      <c r="G14" s="41"/>
      <c r="H14" s="41">
        <f>SUM(F14:G14)</f>
        <v>2115.39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58"/>
      <c r="W14" s="58"/>
      <c r="X14" s="41"/>
      <c r="Y14" s="41"/>
      <c r="Z14" s="41"/>
      <c r="AA14" s="41"/>
      <c r="AB14" s="58"/>
      <c r="AC14" s="58"/>
      <c r="AD14" s="58"/>
      <c r="AE14" s="58"/>
      <c r="AF14" s="58"/>
      <c r="AG14" s="58"/>
      <c r="AH14" s="165"/>
      <c r="AI14" s="42"/>
    </row>
    <row r="15" spans="1:35" x14ac:dyDescent="0.3">
      <c r="A15" s="58"/>
      <c r="B15" s="58" t="s">
        <v>166</v>
      </c>
      <c r="C15" s="141"/>
      <c r="D15" s="141"/>
      <c r="E15" s="141"/>
      <c r="F15" s="41">
        <v>2178.2199999999998</v>
      </c>
      <c r="G15" s="41">
        <f>F15*-1</f>
        <v>-2178.2199999999998</v>
      </c>
      <c r="H15" s="41">
        <f>SUM(F15:G15)</f>
        <v>0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58"/>
      <c r="W15" s="58"/>
      <c r="X15" s="41"/>
      <c r="Y15" s="41"/>
      <c r="Z15" s="41"/>
      <c r="AA15" s="41"/>
      <c r="AB15" s="58"/>
      <c r="AC15" s="58"/>
      <c r="AD15" s="58"/>
      <c r="AE15" s="58"/>
      <c r="AF15" s="58"/>
      <c r="AG15" s="58"/>
      <c r="AH15" s="58"/>
      <c r="AI15" s="42"/>
    </row>
    <row r="16" spans="1:35" x14ac:dyDescent="0.3">
      <c r="A16" s="58"/>
      <c r="B16" s="58" t="s">
        <v>180</v>
      </c>
      <c r="C16" s="141"/>
      <c r="D16" s="141"/>
      <c r="E16" s="141"/>
      <c r="F16" s="41"/>
      <c r="G16" s="41">
        <f>G6*-1</f>
        <v>1007.6940000000001</v>
      </c>
      <c r="H16" s="41">
        <f>SUM(F16:G16)</f>
        <v>1007.6940000000001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58"/>
      <c r="W16" s="58"/>
      <c r="X16" s="41"/>
      <c r="Y16" s="41"/>
      <c r="Z16" s="41"/>
      <c r="AA16" s="41"/>
      <c r="AB16" s="58"/>
      <c r="AC16" s="58"/>
      <c r="AD16" s="58"/>
      <c r="AE16" s="58"/>
      <c r="AF16" s="58"/>
      <c r="AG16" s="58"/>
      <c r="AH16" s="58"/>
      <c r="AI16" s="42"/>
    </row>
    <row r="17" spans="1:35" x14ac:dyDescent="0.3">
      <c r="A17" s="58"/>
      <c r="B17" s="58"/>
      <c r="C17" s="141"/>
      <c r="D17" s="141"/>
      <c r="E17" s="141"/>
      <c r="F17" s="151">
        <f>SUM(F13:F16)</f>
        <v>7539.9699999999993</v>
      </c>
      <c r="G17" s="151" t="s">
        <v>99</v>
      </c>
      <c r="H17" s="151">
        <f>SUM(H13:H16)</f>
        <v>5720.1720000000005</v>
      </c>
      <c r="I17" s="152">
        <f>$H$17*I2*I3</f>
        <v>11669.150880000001</v>
      </c>
      <c r="J17" s="152">
        <f t="shared" ref="J17:T17" si="1">$H$17*J2*J3</f>
        <v>11669.150880000001</v>
      </c>
      <c r="K17" s="152">
        <f t="shared" si="1"/>
        <v>17503.726320000005</v>
      </c>
      <c r="L17" s="152">
        <f t="shared" si="1"/>
        <v>11669.150880000001</v>
      </c>
      <c r="M17" s="152">
        <f t="shared" si="1"/>
        <v>11669.150880000001</v>
      </c>
      <c r="N17" s="152">
        <f t="shared" si="1"/>
        <v>11669.150880000001</v>
      </c>
      <c r="O17" s="152">
        <f t="shared" si="1"/>
        <v>11669.150880000001</v>
      </c>
      <c r="P17" s="152">
        <f t="shared" si="1"/>
        <v>17503.726320000005</v>
      </c>
      <c r="Q17" s="152">
        <f t="shared" si="1"/>
        <v>11669.150880000001</v>
      </c>
      <c r="R17" s="152">
        <f t="shared" si="1"/>
        <v>11669.150880000001</v>
      </c>
      <c r="S17" s="152">
        <f t="shared" si="1"/>
        <v>11669.150880000001</v>
      </c>
      <c r="T17" s="152">
        <f t="shared" si="1"/>
        <v>11669.150880000001</v>
      </c>
      <c r="U17" s="153">
        <f>SUM(I17:T17)</f>
        <v>151698.96144000001</v>
      </c>
      <c r="V17" s="58"/>
      <c r="W17" s="58">
        <f>U17/$U$118</f>
        <v>5.4728206467470147E-2</v>
      </c>
      <c r="X17" s="41">
        <f>($X$3/12)*W17</f>
        <v>1507.1920026947664</v>
      </c>
      <c r="Y17" s="41">
        <f>($Y$3)*W17</f>
        <v>0</v>
      </c>
      <c r="Z17" s="41">
        <f>$Z$3*W17/12</f>
        <v>106.39163337276197</v>
      </c>
      <c r="AA17" s="41">
        <f>$AA$3*W17/12</f>
        <v>194.32891552469303</v>
      </c>
      <c r="AB17" s="58"/>
      <c r="AC17" s="58"/>
      <c r="AD17" s="58"/>
      <c r="AE17" s="58"/>
      <c r="AF17" s="58"/>
      <c r="AG17" s="58"/>
      <c r="AH17" s="58"/>
      <c r="AI17" s="42"/>
    </row>
    <row r="18" spans="1:35" x14ac:dyDescent="0.3">
      <c r="A18" s="150" t="s">
        <v>146</v>
      </c>
      <c r="B18" s="58"/>
      <c r="C18" s="141"/>
      <c r="D18" s="141"/>
      <c r="E18" s="1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58"/>
      <c r="W18" s="58">
        <f>U18/$U$118</f>
        <v>0</v>
      </c>
      <c r="X18" s="41">
        <f>($X$3/12)*W18</f>
        <v>0</v>
      </c>
      <c r="Y18" s="41">
        <f>($Y$3/12)*W18</f>
        <v>0</v>
      </c>
      <c r="Z18" s="41">
        <f>($Z$3/12)*W18</f>
        <v>0</v>
      </c>
      <c r="AA18" s="41">
        <f>($AA$3/12)*W18</f>
        <v>0</v>
      </c>
      <c r="AB18" s="58"/>
      <c r="AC18" s="58"/>
      <c r="AD18" s="58"/>
      <c r="AE18" s="58"/>
      <c r="AF18" s="58"/>
      <c r="AG18" s="58"/>
      <c r="AH18" s="58"/>
      <c r="AI18" s="42"/>
    </row>
    <row r="19" spans="1:35" x14ac:dyDescent="0.3">
      <c r="A19" s="58"/>
      <c r="B19" s="154" t="s">
        <v>167</v>
      </c>
      <c r="C19" s="141"/>
      <c r="D19" s="141"/>
      <c r="E19" s="141"/>
      <c r="F19" s="41"/>
      <c r="G19" s="41">
        <f>G13*-1</f>
        <v>649.27200000000005</v>
      </c>
      <c r="H19" s="41">
        <f>SUM(F19:G19)</f>
        <v>649.27200000000005</v>
      </c>
      <c r="I19" s="152">
        <f>$H$19*I2*I3</f>
        <v>1324.5148800000002</v>
      </c>
      <c r="J19" s="152">
        <f t="shared" ref="J19:T19" si="2">$H$19*J2*J3</f>
        <v>1324.5148800000002</v>
      </c>
      <c r="K19" s="152">
        <f t="shared" si="2"/>
        <v>1986.7723200000003</v>
      </c>
      <c r="L19" s="152">
        <f t="shared" si="2"/>
        <v>1324.5148800000002</v>
      </c>
      <c r="M19" s="152">
        <f t="shared" si="2"/>
        <v>1324.5148800000002</v>
      </c>
      <c r="N19" s="152">
        <f t="shared" si="2"/>
        <v>1324.5148800000002</v>
      </c>
      <c r="O19" s="152">
        <f t="shared" si="2"/>
        <v>1324.5148800000002</v>
      </c>
      <c r="P19" s="152">
        <f t="shared" si="2"/>
        <v>1986.7723200000003</v>
      </c>
      <c r="Q19" s="152">
        <f t="shared" si="2"/>
        <v>1324.5148800000002</v>
      </c>
      <c r="R19" s="152">
        <f t="shared" si="2"/>
        <v>1324.5148800000002</v>
      </c>
      <c r="S19" s="152">
        <f t="shared" si="2"/>
        <v>1324.5148800000002</v>
      </c>
      <c r="T19" s="152">
        <f t="shared" si="2"/>
        <v>1324.5148800000002</v>
      </c>
      <c r="U19" s="153">
        <f>SUM(I19:T19)</f>
        <v>17218.693440000003</v>
      </c>
      <c r="V19" s="58"/>
      <c r="W19" s="58"/>
      <c r="X19" s="41"/>
      <c r="Y19" s="41"/>
      <c r="Z19" s="41"/>
      <c r="AA19" s="41"/>
      <c r="AB19" s="58"/>
      <c r="AC19" s="58"/>
      <c r="AD19" s="58"/>
      <c r="AE19" s="58"/>
      <c r="AF19" s="58"/>
      <c r="AG19" s="58"/>
      <c r="AH19" s="58"/>
      <c r="AI19" s="42"/>
    </row>
    <row r="20" spans="1:35" x14ac:dyDescent="0.3">
      <c r="A20" s="58"/>
      <c r="B20" s="58"/>
      <c r="C20" s="141"/>
      <c r="D20" s="141"/>
      <c r="E20" s="1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58"/>
      <c r="W20" s="58"/>
      <c r="X20" s="41"/>
      <c r="Y20" s="41"/>
      <c r="Z20" s="41"/>
      <c r="AA20" s="41"/>
      <c r="AB20" s="58"/>
      <c r="AC20" s="58"/>
      <c r="AD20" s="58"/>
      <c r="AE20" s="58"/>
      <c r="AF20" s="58"/>
      <c r="AG20" s="58"/>
      <c r="AH20" s="58"/>
      <c r="AI20" s="42"/>
    </row>
    <row r="21" spans="1:35" x14ac:dyDescent="0.3">
      <c r="A21" s="150" t="s">
        <v>149</v>
      </c>
      <c r="B21" s="58"/>
      <c r="C21" s="141"/>
      <c r="D21" s="141"/>
      <c r="E21" s="1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58"/>
      <c r="W21" s="58"/>
      <c r="X21" s="41"/>
      <c r="Y21" s="41"/>
      <c r="Z21" s="41"/>
      <c r="AA21" s="41"/>
      <c r="AB21" s="58"/>
      <c r="AC21" s="58"/>
      <c r="AD21" s="58"/>
      <c r="AE21" s="58"/>
      <c r="AF21" s="58"/>
      <c r="AG21" s="58"/>
      <c r="AH21" s="58"/>
      <c r="AI21" s="42"/>
    </row>
    <row r="22" spans="1:35" x14ac:dyDescent="0.3">
      <c r="A22" s="58"/>
      <c r="B22" s="150"/>
      <c r="C22" s="141"/>
      <c r="D22" s="141"/>
      <c r="E22" s="1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58"/>
      <c r="W22" s="58"/>
      <c r="X22" s="41"/>
      <c r="Y22" s="41"/>
      <c r="Z22" s="41"/>
      <c r="AA22" s="41"/>
      <c r="AB22" s="58"/>
      <c r="AC22" s="58" t="s">
        <v>99</v>
      </c>
      <c r="AD22" s="58"/>
      <c r="AE22" s="58"/>
      <c r="AF22" s="58"/>
      <c r="AG22" s="58"/>
      <c r="AH22" s="58"/>
      <c r="AI22" s="42"/>
    </row>
    <row r="23" spans="1:35" x14ac:dyDescent="0.3">
      <c r="A23" s="58"/>
      <c r="B23" s="154" t="s">
        <v>342</v>
      </c>
      <c r="C23" s="141"/>
      <c r="D23" s="141"/>
      <c r="E23" s="141"/>
      <c r="F23" s="41">
        <v>4093.26</v>
      </c>
      <c r="G23" s="41">
        <v>-4093.26</v>
      </c>
      <c r="H23" s="41">
        <f>SUM(F23:G23)</f>
        <v>0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58"/>
      <c r="W23" s="58"/>
      <c r="X23" s="41"/>
      <c r="Y23" s="41"/>
      <c r="Z23" s="41"/>
      <c r="AA23" s="41"/>
      <c r="AB23" s="58"/>
      <c r="AC23" s="58"/>
      <c r="AD23" s="58"/>
      <c r="AE23" s="58"/>
      <c r="AF23" s="58"/>
      <c r="AG23" s="58"/>
      <c r="AH23" s="58"/>
      <c r="AI23" s="42"/>
    </row>
    <row r="24" spans="1:35" x14ac:dyDescent="0.3">
      <c r="A24" s="58"/>
      <c r="B24" s="58" t="s">
        <v>343</v>
      </c>
      <c r="C24" s="141"/>
      <c r="D24" s="141"/>
      <c r="E24" s="141"/>
      <c r="F24" s="41">
        <v>3310.59</v>
      </c>
      <c r="G24" s="41">
        <v>-3310.59</v>
      </c>
      <c r="H24" s="41">
        <f>SUM(F24:G24)</f>
        <v>0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58"/>
      <c r="W24" s="58"/>
      <c r="X24" s="41"/>
      <c r="Y24" s="41"/>
      <c r="Z24" s="41"/>
      <c r="AA24" s="41"/>
      <c r="AB24" s="58"/>
      <c r="AC24" s="58"/>
      <c r="AD24" s="58"/>
      <c r="AE24" s="58"/>
      <c r="AF24" s="58"/>
      <c r="AG24" s="58"/>
      <c r="AH24" s="58"/>
      <c r="AI24" s="42"/>
    </row>
    <row r="25" spans="1:35" x14ac:dyDescent="0.3">
      <c r="A25" s="58"/>
      <c r="B25" s="58" t="s">
        <v>344</v>
      </c>
      <c r="C25" s="141"/>
      <c r="D25" s="141"/>
      <c r="E25" s="1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58"/>
      <c r="W25" s="58"/>
      <c r="X25" s="41"/>
      <c r="Y25" s="41"/>
      <c r="Z25" s="41"/>
      <c r="AA25" s="41"/>
      <c r="AB25" s="58"/>
      <c r="AC25" s="58"/>
      <c r="AD25" s="58"/>
      <c r="AE25" s="58"/>
      <c r="AF25" s="58"/>
      <c r="AG25" s="58"/>
      <c r="AH25" s="58"/>
      <c r="AI25" s="42"/>
    </row>
    <row r="26" spans="1:35" x14ac:dyDescent="0.3">
      <c r="A26" s="58"/>
      <c r="B26" s="58" t="s">
        <v>345</v>
      </c>
      <c r="C26" s="141"/>
      <c r="D26" s="141">
        <f>F26+(-1*G15)</f>
        <v>9582.07</v>
      </c>
      <c r="E26" s="141"/>
      <c r="F26" s="41">
        <f t="shared" ref="F26" si="3">SUM(F23:F24)</f>
        <v>7403.85</v>
      </c>
      <c r="G26" s="41">
        <v>0</v>
      </c>
      <c r="H26" s="41">
        <f>SUM(H23:H24)</f>
        <v>0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58"/>
      <c r="W26" s="58"/>
      <c r="X26" s="41"/>
      <c r="Y26" s="41"/>
      <c r="Z26" s="41"/>
      <c r="AA26" s="41"/>
      <c r="AB26" s="58"/>
      <c r="AC26" s="58"/>
      <c r="AD26" s="58"/>
      <c r="AE26" s="58"/>
      <c r="AF26" s="58"/>
      <c r="AG26" s="58"/>
      <c r="AH26" s="58"/>
      <c r="AI26" s="42"/>
    </row>
    <row r="27" spans="1:35" x14ac:dyDescent="0.3">
      <c r="A27" s="156" t="s">
        <v>158</v>
      </c>
      <c r="B27" s="58"/>
      <c r="C27" s="141"/>
      <c r="D27" s="157">
        <f>D26/8</f>
        <v>1197.75875</v>
      </c>
      <c r="E27" s="141" t="s">
        <v>346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58"/>
      <c r="W27" s="58"/>
      <c r="X27" s="41"/>
      <c r="Y27" s="41"/>
      <c r="Z27" s="41"/>
      <c r="AA27" s="41"/>
      <c r="AB27" s="58"/>
      <c r="AC27" s="58"/>
      <c r="AD27" s="58"/>
      <c r="AE27" s="58"/>
      <c r="AF27" s="58"/>
      <c r="AG27" s="58"/>
      <c r="AH27" s="58"/>
      <c r="AI27" s="42"/>
    </row>
    <row r="28" spans="1:35" x14ac:dyDescent="0.3">
      <c r="A28" s="58"/>
      <c r="B28" s="58"/>
      <c r="C28" s="156"/>
      <c r="D28" s="141"/>
      <c r="E28" s="1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58"/>
      <c r="W28" s="58"/>
      <c r="X28" s="41"/>
      <c r="Y28" s="41"/>
      <c r="Z28" s="41"/>
      <c r="AA28" s="41"/>
      <c r="AB28" s="58"/>
      <c r="AC28" s="58"/>
      <c r="AD28" s="58"/>
      <c r="AE28" s="58"/>
      <c r="AF28" s="58"/>
      <c r="AG28" s="58"/>
      <c r="AH28" s="58"/>
      <c r="AI28" s="42"/>
    </row>
    <row r="29" spans="1:35" x14ac:dyDescent="0.3">
      <c r="A29" s="58"/>
      <c r="B29" s="58"/>
      <c r="C29" s="155" t="s">
        <v>347</v>
      </c>
      <c r="D29" s="141"/>
      <c r="E29" s="141"/>
      <c r="F29" s="41"/>
      <c r="G29" s="41"/>
      <c r="H29" s="41">
        <f>SUM(F29:G29)</f>
        <v>0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58"/>
      <c r="W29" s="58"/>
      <c r="X29" s="41"/>
      <c r="Y29" s="41"/>
      <c r="Z29" s="41"/>
      <c r="AA29" s="41"/>
      <c r="AB29" s="58"/>
      <c r="AC29" s="58"/>
      <c r="AD29" s="58"/>
      <c r="AE29" s="58"/>
      <c r="AF29" s="58"/>
      <c r="AG29" s="58"/>
      <c r="AH29" s="58"/>
      <c r="AI29" s="42"/>
    </row>
    <row r="30" spans="1:35" x14ac:dyDescent="0.3">
      <c r="A30" s="58"/>
      <c r="B30" s="58"/>
      <c r="C30" s="155" t="s">
        <v>348</v>
      </c>
      <c r="D30" s="141"/>
      <c r="E30" s="141"/>
      <c r="F30" s="41">
        <v>0</v>
      </c>
      <c r="G30" s="41"/>
      <c r="H30" s="41">
        <v>0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58"/>
      <c r="W30" s="58"/>
      <c r="X30" s="41"/>
      <c r="Y30" s="41"/>
      <c r="Z30" s="41"/>
      <c r="AA30" s="41"/>
      <c r="AB30" s="58"/>
      <c r="AC30" s="58"/>
      <c r="AD30" s="58"/>
      <c r="AE30" s="58"/>
      <c r="AF30" s="58"/>
      <c r="AG30" s="58"/>
      <c r="AH30" s="58"/>
      <c r="AI30" s="42"/>
    </row>
    <row r="31" spans="1:35" x14ac:dyDescent="0.3">
      <c r="A31" s="58"/>
      <c r="B31" s="58"/>
      <c r="C31" s="156"/>
      <c r="D31" s="141"/>
      <c r="E31" s="1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58"/>
      <c r="W31" s="58"/>
      <c r="X31" s="41"/>
      <c r="Y31" s="41"/>
      <c r="Z31" s="41"/>
      <c r="AA31" s="41"/>
      <c r="AB31" s="58"/>
      <c r="AC31" s="58"/>
      <c r="AD31" s="58"/>
      <c r="AE31" s="58"/>
      <c r="AF31" s="58"/>
      <c r="AG31" s="58"/>
      <c r="AH31" s="58"/>
      <c r="AI31" s="42"/>
    </row>
    <row r="32" spans="1:35" x14ac:dyDescent="0.3">
      <c r="A32" s="58"/>
      <c r="B32" s="58"/>
      <c r="C32" s="141"/>
      <c r="D32" s="141"/>
      <c r="E32" s="1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58"/>
      <c r="W32" s="58"/>
      <c r="X32" s="41"/>
      <c r="Y32" s="41"/>
      <c r="Z32" s="41"/>
      <c r="AA32" s="41"/>
      <c r="AB32" s="58"/>
      <c r="AC32" s="58"/>
      <c r="AD32" s="58"/>
      <c r="AE32" s="58"/>
      <c r="AF32" s="58"/>
      <c r="AG32" s="58"/>
      <c r="AH32" s="58"/>
      <c r="AI32" s="42"/>
    </row>
    <row r="33" spans="1:35" x14ac:dyDescent="0.3">
      <c r="A33" s="156" t="s">
        <v>170</v>
      </c>
      <c r="B33" s="58"/>
      <c r="C33" s="141"/>
      <c r="D33" s="141"/>
      <c r="E33" s="141" t="s">
        <v>99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58"/>
      <c r="W33" s="58"/>
      <c r="X33" s="41"/>
      <c r="Y33" s="41"/>
      <c r="Z33" s="41"/>
      <c r="AA33" s="41"/>
      <c r="AB33" s="58"/>
      <c r="AC33" s="58"/>
      <c r="AD33" s="58"/>
      <c r="AE33" s="58"/>
      <c r="AF33" s="58"/>
      <c r="AG33" s="58"/>
      <c r="AH33" s="58"/>
      <c r="AI33" s="42"/>
    </row>
    <row r="34" spans="1:35" x14ac:dyDescent="0.3">
      <c r="A34" s="58"/>
      <c r="B34" s="58"/>
      <c r="C34" s="141"/>
      <c r="D34" s="141" t="s">
        <v>179</v>
      </c>
      <c r="E34" s="141"/>
      <c r="F34" s="41">
        <v>750</v>
      </c>
      <c r="G34" s="41"/>
      <c r="H34" s="41">
        <f t="shared" ref="H34:H37" si="4">SUM(F34:G34)</f>
        <v>750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58"/>
      <c r="W34" s="58"/>
      <c r="X34" s="41"/>
      <c r="Y34" s="41"/>
      <c r="Z34" s="41"/>
      <c r="AA34" s="41"/>
      <c r="AB34" s="58"/>
      <c r="AC34" s="58"/>
      <c r="AD34" s="58"/>
      <c r="AE34" s="58"/>
      <c r="AF34" s="58"/>
      <c r="AG34" s="58"/>
      <c r="AH34" s="58"/>
      <c r="AI34" s="42"/>
    </row>
    <row r="35" spans="1:35" x14ac:dyDescent="0.3">
      <c r="A35" s="58"/>
      <c r="B35" s="58"/>
      <c r="C35" s="141"/>
      <c r="D35" s="141" t="s">
        <v>168</v>
      </c>
      <c r="E35" s="141"/>
      <c r="F35" s="41">
        <v>2289.1</v>
      </c>
      <c r="G35" s="41"/>
      <c r="H35" s="41">
        <f t="shared" si="4"/>
        <v>2289.1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58"/>
      <c r="W35" s="58"/>
      <c r="X35" s="41"/>
      <c r="Y35" s="41"/>
      <c r="Z35" s="41"/>
      <c r="AA35" s="41"/>
      <c r="AB35" s="58"/>
      <c r="AC35" s="58"/>
      <c r="AD35" s="58"/>
      <c r="AE35" s="58"/>
      <c r="AF35" s="58"/>
      <c r="AG35" s="58"/>
      <c r="AH35" s="58"/>
      <c r="AI35" s="42"/>
    </row>
    <row r="36" spans="1:35" x14ac:dyDescent="0.3">
      <c r="A36" s="58"/>
      <c r="B36" s="58"/>
      <c r="C36" s="141"/>
      <c r="D36" s="157" t="s">
        <v>349</v>
      </c>
      <c r="E36" s="157"/>
      <c r="F36" s="158">
        <v>0</v>
      </c>
      <c r="G36" s="158">
        <v>1197.76</v>
      </c>
      <c r="H36" s="41">
        <f t="shared" si="4"/>
        <v>1197.76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58"/>
      <c r="W36" s="58"/>
      <c r="X36" s="41"/>
      <c r="Y36" s="41"/>
      <c r="Z36" s="41"/>
      <c r="AA36" s="41"/>
      <c r="AB36" s="58"/>
      <c r="AC36" s="58"/>
      <c r="AD36" s="58"/>
      <c r="AE36" s="58"/>
      <c r="AF36" s="58"/>
      <c r="AG36" s="58"/>
      <c r="AH36" s="58"/>
      <c r="AI36" s="42"/>
    </row>
    <row r="37" spans="1:35" x14ac:dyDescent="0.3">
      <c r="A37" s="58"/>
      <c r="B37" s="58"/>
      <c r="C37" s="141"/>
      <c r="D37" s="141" t="s">
        <v>350</v>
      </c>
      <c r="E37" s="141"/>
      <c r="F37" s="41">
        <f>19.8*40</f>
        <v>792</v>
      </c>
      <c r="G37" s="41"/>
      <c r="H37" s="41">
        <f t="shared" si="4"/>
        <v>792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58"/>
      <c r="W37" s="58"/>
      <c r="X37" s="41"/>
      <c r="Y37" s="41"/>
      <c r="Z37" s="41"/>
      <c r="AA37" s="41"/>
      <c r="AB37" s="58"/>
      <c r="AC37" s="58"/>
      <c r="AD37" s="58"/>
      <c r="AE37" s="58"/>
      <c r="AF37" s="58"/>
      <c r="AG37" s="58"/>
      <c r="AH37" s="58"/>
      <c r="AI37" s="42"/>
    </row>
    <row r="38" spans="1:35" x14ac:dyDescent="0.3">
      <c r="A38" s="58"/>
      <c r="B38" s="58"/>
      <c r="C38" s="141"/>
      <c r="D38" s="156" t="s">
        <v>351</v>
      </c>
      <c r="E38" s="141"/>
      <c r="F38" s="41"/>
      <c r="G38" s="41"/>
      <c r="H38" s="41">
        <f>SUM(H34:H37)</f>
        <v>5028.8599999999997</v>
      </c>
      <c r="I38" s="69">
        <f>$H$38*I2*I3</f>
        <v>10258.874399999999</v>
      </c>
      <c r="J38" s="69">
        <f t="shared" ref="J38:T38" si="5">$H$38*J2*J3</f>
        <v>10258.874399999999</v>
      </c>
      <c r="K38" s="69">
        <f t="shared" si="5"/>
        <v>15388.311599999999</v>
      </c>
      <c r="L38" s="69">
        <f t="shared" si="5"/>
        <v>10258.874399999999</v>
      </c>
      <c r="M38" s="69">
        <f t="shared" si="5"/>
        <v>10258.874399999999</v>
      </c>
      <c r="N38" s="69">
        <f t="shared" si="5"/>
        <v>10258.874399999999</v>
      </c>
      <c r="O38" s="69">
        <f t="shared" si="5"/>
        <v>10258.874399999999</v>
      </c>
      <c r="P38" s="69">
        <f t="shared" si="5"/>
        <v>15388.311599999999</v>
      </c>
      <c r="Q38" s="69">
        <f t="shared" si="5"/>
        <v>10258.874399999999</v>
      </c>
      <c r="R38" s="69">
        <f t="shared" si="5"/>
        <v>10258.874399999999</v>
      </c>
      <c r="S38" s="69">
        <f t="shared" si="5"/>
        <v>10258.874399999999</v>
      </c>
      <c r="T38" s="69">
        <f t="shared" si="5"/>
        <v>10258.874399999999</v>
      </c>
      <c r="U38" s="41">
        <f>SUM(I38:T38)</f>
        <v>133365.36719999998</v>
      </c>
      <c r="V38" s="58"/>
      <c r="W38" s="58"/>
      <c r="X38" s="41"/>
      <c r="Y38" s="41"/>
      <c r="Z38" s="41"/>
      <c r="AA38" s="41"/>
      <c r="AB38" s="58"/>
      <c r="AC38" s="58"/>
      <c r="AD38" s="58"/>
      <c r="AE38" s="58"/>
      <c r="AF38" s="58"/>
      <c r="AG38" s="58"/>
      <c r="AH38" s="58"/>
      <c r="AI38" s="42"/>
    </row>
    <row r="39" spans="1:35" x14ac:dyDescent="0.3">
      <c r="A39" s="58"/>
      <c r="B39" s="58"/>
      <c r="C39" s="141"/>
      <c r="D39" s="156" t="s">
        <v>352</v>
      </c>
      <c r="E39" s="141"/>
      <c r="F39" s="159">
        <f>10972-23.5</f>
        <v>10948.5</v>
      </c>
      <c r="G39" s="159"/>
      <c r="H39" s="159">
        <f>F39</f>
        <v>10948.5</v>
      </c>
      <c r="I39" s="69">
        <f>$H$39*I2*I4</f>
        <v>22334.94</v>
      </c>
      <c r="J39" s="69">
        <f t="shared" ref="J39:T39" si="6">$H$39*J2*J4</f>
        <v>22334.94</v>
      </c>
      <c r="K39" s="69">
        <f t="shared" si="6"/>
        <v>33502.410000000003</v>
      </c>
      <c r="L39" s="69">
        <f t="shared" si="6"/>
        <v>22334.94</v>
      </c>
      <c r="M39" s="69">
        <f t="shared" si="6"/>
        <v>22334.94</v>
      </c>
      <c r="N39" s="69">
        <f t="shared" si="6"/>
        <v>22334.94</v>
      </c>
      <c r="O39" s="69">
        <f t="shared" si="6"/>
        <v>22334.94</v>
      </c>
      <c r="P39" s="69">
        <f t="shared" si="6"/>
        <v>33502.410000000003</v>
      </c>
      <c r="Q39" s="69">
        <f t="shared" si="6"/>
        <v>22334.94</v>
      </c>
      <c r="R39" s="69">
        <f t="shared" si="6"/>
        <v>22334.94</v>
      </c>
      <c r="S39" s="69">
        <f t="shared" si="6"/>
        <v>22334.94</v>
      </c>
      <c r="T39" s="69">
        <f t="shared" si="6"/>
        <v>22334.94</v>
      </c>
      <c r="U39" s="69">
        <f>SUM(I39:T39)</f>
        <v>290354.22000000003</v>
      </c>
      <c r="V39" s="58"/>
      <c r="W39" s="58"/>
      <c r="X39" s="41"/>
      <c r="Y39" s="41"/>
      <c r="Z39" s="41"/>
      <c r="AA39" s="41"/>
      <c r="AB39" s="58"/>
      <c r="AC39" s="58"/>
      <c r="AD39" s="58"/>
      <c r="AE39" s="58"/>
      <c r="AF39" s="58"/>
      <c r="AG39" s="58"/>
      <c r="AH39" s="58"/>
      <c r="AI39" s="42"/>
    </row>
    <row r="40" spans="1:35" x14ac:dyDescent="0.3">
      <c r="A40" s="41"/>
      <c r="B40" s="41"/>
      <c r="C40" s="41">
        <f>F40+G36</f>
        <v>15977.36</v>
      </c>
      <c r="D40" s="41"/>
      <c r="E40" s="41" t="s">
        <v>353</v>
      </c>
      <c r="F40" s="41">
        <f>SUM(F34:F39)</f>
        <v>14779.6</v>
      </c>
      <c r="G40" s="41"/>
      <c r="H40" s="160">
        <f>H38+H39</f>
        <v>15977.36</v>
      </c>
      <c r="I40" s="160">
        <f t="shared" ref="I40:U40" si="7">I38+I39</f>
        <v>32593.814399999996</v>
      </c>
      <c r="J40" s="160">
        <f t="shared" si="7"/>
        <v>32593.814399999996</v>
      </c>
      <c r="K40" s="160">
        <f t="shared" si="7"/>
        <v>48890.721600000004</v>
      </c>
      <c r="L40" s="160">
        <f t="shared" si="7"/>
        <v>32593.814399999996</v>
      </c>
      <c r="M40" s="160">
        <f t="shared" si="7"/>
        <v>32593.814399999996</v>
      </c>
      <c r="N40" s="160">
        <f t="shared" si="7"/>
        <v>32593.814399999996</v>
      </c>
      <c r="O40" s="160">
        <f t="shared" si="7"/>
        <v>32593.814399999996</v>
      </c>
      <c r="P40" s="160">
        <f t="shared" si="7"/>
        <v>48890.721600000004</v>
      </c>
      <c r="Q40" s="160">
        <f t="shared" si="7"/>
        <v>32593.814399999996</v>
      </c>
      <c r="R40" s="160">
        <f t="shared" si="7"/>
        <v>32593.814399999996</v>
      </c>
      <c r="S40" s="160">
        <f t="shared" si="7"/>
        <v>32593.814399999996</v>
      </c>
      <c r="T40" s="160">
        <f t="shared" si="7"/>
        <v>32593.814399999996</v>
      </c>
      <c r="U40" s="160">
        <f t="shared" si="7"/>
        <v>423719.58720000001</v>
      </c>
      <c r="V40" s="41"/>
      <c r="W40" s="161">
        <f>U40/$U$118</f>
        <v>0.15286467904900392</v>
      </c>
      <c r="X40" s="41">
        <f>($X$3/12)*W40</f>
        <v>4209.8295673932971</v>
      </c>
      <c r="Y40" s="41">
        <f>($Y$3)*W40</f>
        <v>0</v>
      </c>
      <c r="Z40" s="41">
        <f>$Z$3*W40/12</f>
        <v>297.1689360712636</v>
      </c>
      <c r="AA40" s="41">
        <f>$AA$3*W40/12</f>
        <v>542.79190236720319</v>
      </c>
      <c r="AB40" s="41"/>
      <c r="AC40" s="41"/>
      <c r="AD40" s="41"/>
      <c r="AE40" s="41"/>
      <c r="AF40" s="41"/>
      <c r="AG40" s="41"/>
      <c r="AH40" s="41"/>
      <c r="AI40" s="42"/>
    </row>
    <row r="41" spans="1:35" x14ac:dyDescent="0.3">
      <c r="A41" s="58"/>
      <c r="B41" s="58"/>
      <c r="C41" s="141"/>
      <c r="D41" s="141"/>
      <c r="E41" s="141"/>
      <c r="F41" s="151">
        <f>F40+1198-H40</f>
        <v>0.23999999999978172</v>
      </c>
      <c r="G41" s="41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58"/>
      <c r="W41" s="58"/>
      <c r="X41" s="41"/>
      <c r="Y41" s="41"/>
      <c r="Z41" s="41"/>
      <c r="AA41" s="41"/>
      <c r="AB41" s="58"/>
      <c r="AC41" s="58"/>
      <c r="AD41" s="58"/>
      <c r="AE41" s="58"/>
      <c r="AF41" s="58"/>
      <c r="AG41" s="58"/>
      <c r="AH41" s="58"/>
      <c r="AI41" s="42"/>
    </row>
    <row r="42" spans="1:35" x14ac:dyDescent="0.3">
      <c r="A42" s="156" t="s">
        <v>159</v>
      </c>
      <c r="B42" s="58"/>
      <c r="C42" s="141"/>
      <c r="D42" s="141"/>
      <c r="E42" s="1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58"/>
      <c r="W42" s="58"/>
      <c r="X42" s="41"/>
      <c r="Y42" s="41"/>
      <c r="Z42" s="41"/>
      <c r="AA42" s="41"/>
      <c r="AB42" s="58"/>
      <c r="AC42" s="58"/>
      <c r="AD42" s="58"/>
      <c r="AE42" s="58"/>
      <c r="AF42" s="58"/>
      <c r="AG42" s="58"/>
      <c r="AH42" s="58"/>
      <c r="AI42" s="42"/>
    </row>
    <row r="43" spans="1:35" x14ac:dyDescent="0.3">
      <c r="A43" s="58"/>
      <c r="B43" s="58"/>
      <c r="C43" s="141"/>
      <c r="D43" s="141" t="s">
        <v>349</v>
      </c>
      <c r="E43" s="141"/>
      <c r="F43" s="158" t="str">
        <f>D34</f>
        <v>Nurse Practitioner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58"/>
      <c r="W43" s="58"/>
      <c r="X43" s="41"/>
      <c r="Y43" s="41"/>
      <c r="Z43" s="41"/>
      <c r="AA43" s="41"/>
      <c r="AB43" s="58"/>
      <c r="AC43" s="58"/>
      <c r="AD43" s="58"/>
      <c r="AE43" s="58"/>
      <c r="AF43" s="58"/>
      <c r="AG43" s="58"/>
      <c r="AH43" s="58"/>
      <c r="AI43" s="42"/>
    </row>
    <row r="44" spans="1:35" x14ac:dyDescent="0.3">
      <c r="A44" s="58"/>
      <c r="B44" s="58"/>
      <c r="C44" s="141"/>
      <c r="D44" s="157" t="s">
        <v>349</v>
      </c>
      <c r="E44" s="157"/>
      <c r="F44" s="158">
        <v>0</v>
      </c>
      <c r="G44" s="158">
        <v>1197.76</v>
      </c>
      <c r="H44" s="41">
        <f>SUM(F44:G44)</f>
        <v>1197.76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58"/>
      <c r="W44" s="58"/>
      <c r="X44" s="41"/>
      <c r="Y44" s="41"/>
      <c r="Z44" s="41"/>
      <c r="AA44" s="41"/>
      <c r="AB44" s="58"/>
      <c r="AC44" s="58"/>
      <c r="AD44" s="58"/>
      <c r="AE44" s="58"/>
      <c r="AF44" s="58"/>
      <c r="AG44" s="58"/>
      <c r="AH44" s="58"/>
      <c r="AI44" s="42"/>
    </row>
    <row r="45" spans="1:35" x14ac:dyDescent="0.3">
      <c r="A45" s="58"/>
      <c r="B45" s="58"/>
      <c r="C45" s="141"/>
      <c r="D45" s="141" t="s">
        <v>168</v>
      </c>
      <c r="E45" s="141"/>
      <c r="F45" s="41">
        <v>2060</v>
      </c>
      <c r="G45" s="41"/>
      <c r="H45" s="41">
        <f t="shared" ref="H45:H49" si="8">SUM(F45:G45)</f>
        <v>2060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58"/>
      <c r="W45" s="58"/>
      <c r="X45" s="41"/>
      <c r="Y45" s="41"/>
      <c r="Z45" s="41"/>
      <c r="AA45" s="41"/>
      <c r="AB45" s="58"/>
      <c r="AC45" s="58"/>
      <c r="AD45" s="58"/>
      <c r="AE45" s="58"/>
      <c r="AF45" s="58"/>
      <c r="AG45" s="58"/>
      <c r="AH45" s="58"/>
      <c r="AI45" s="42"/>
    </row>
    <row r="46" spans="1:35" x14ac:dyDescent="0.3">
      <c r="A46" s="58"/>
      <c r="B46" s="58"/>
      <c r="C46" s="141"/>
      <c r="D46" s="141" t="s">
        <v>179</v>
      </c>
      <c r="E46" s="141"/>
      <c r="F46" s="41">
        <v>750</v>
      </c>
      <c r="G46" s="41"/>
      <c r="H46" s="41">
        <f t="shared" si="8"/>
        <v>750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58" t="s">
        <v>354</v>
      </c>
      <c r="W46" s="58"/>
      <c r="X46" s="41"/>
      <c r="Y46" s="41"/>
      <c r="Z46" s="41"/>
      <c r="AA46" s="41"/>
      <c r="AB46" s="58"/>
      <c r="AC46" s="58"/>
      <c r="AD46" s="58"/>
      <c r="AE46" s="58"/>
      <c r="AF46" s="58"/>
      <c r="AG46" s="58"/>
      <c r="AH46" s="58"/>
      <c r="AI46" s="42"/>
    </row>
    <row r="47" spans="1:35" x14ac:dyDescent="0.3">
      <c r="A47" s="58" t="s">
        <v>99</v>
      </c>
      <c r="B47" s="58"/>
      <c r="C47" s="141"/>
      <c r="D47" s="141" t="s">
        <v>350</v>
      </c>
      <c r="E47" s="141"/>
      <c r="F47" s="41">
        <f>19.8*40</f>
        <v>792</v>
      </c>
      <c r="G47" s="41"/>
      <c r="H47" s="41">
        <f t="shared" si="8"/>
        <v>792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58"/>
      <c r="W47" s="58"/>
      <c r="X47" s="41"/>
      <c r="Y47" s="41"/>
      <c r="Z47" s="41"/>
      <c r="AA47" s="41"/>
      <c r="AB47" s="58"/>
      <c r="AC47" s="58"/>
      <c r="AD47" s="58"/>
      <c r="AE47" s="58"/>
      <c r="AF47" s="58"/>
      <c r="AG47" s="58"/>
      <c r="AH47" s="58"/>
      <c r="AI47" s="42"/>
    </row>
    <row r="48" spans="1:35" x14ac:dyDescent="0.3">
      <c r="A48" s="58"/>
      <c r="B48" s="58"/>
      <c r="C48" s="141"/>
      <c r="D48" s="156" t="s">
        <v>351</v>
      </c>
      <c r="E48" s="141"/>
      <c r="F48" s="41">
        <v>0</v>
      </c>
      <c r="G48" s="41"/>
      <c r="H48" s="41">
        <f>SUM(H44:H47)</f>
        <v>4799.76</v>
      </c>
      <c r="I48" s="69">
        <f>$H$48*I3*I2</f>
        <v>9791.510400000001</v>
      </c>
      <c r="J48" s="69">
        <f t="shared" ref="J48:T48" si="9">$H$48*J3*J2</f>
        <v>9791.510400000001</v>
      </c>
      <c r="K48" s="69">
        <f t="shared" si="9"/>
        <v>14687.265600000002</v>
      </c>
      <c r="L48" s="69">
        <f t="shared" si="9"/>
        <v>9791.510400000001</v>
      </c>
      <c r="M48" s="69">
        <f t="shared" si="9"/>
        <v>9791.510400000001</v>
      </c>
      <c r="N48" s="69">
        <f t="shared" si="9"/>
        <v>9791.510400000001</v>
      </c>
      <c r="O48" s="69">
        <f t="shared" si="9"/>
        <v>9791.510400000001</v>
      </c>
      <c r="P48" s="69">
        <f t="shared" si="9"/>
        <v>14687.265600000002</v>
      </c>
      <c r="Q48" s="69">
        <f t="shared" si="9"/>
        <v>9791.510400000001</v>
      </c>
      <c r="R48" s="69">
        <f t="shared" si="9"/>
        <v>9791.510400000001</v>
      </c>
      <c r="S48" s="69">
        <f t="shared" si="9"/>
        <v>9791.510400000001</v>
      </c>
      <c r="T48" s="69">
        <f t="shared" si="9"/>
        <v>9791.510400000001</v>
      </c>
      <c r="U48" s="41">
        <f>SUM(I48:T48)</f>
        <v>127289.6352</v>
      </c>
      <c r="V48" s="58"/>
      <c r="W48" s="58"/>
      <c r="X48" s="41"/>
      <c r="Y48" s="41"/>
      <c r="Z48" s="41"/>
      <c r="AA48" s="41"/>
      <c r="AB48" s="58"/>
      <c r="AC48" s="58"/>
      <c r="AD48" s="58"/>
      <c r="AE48" s="58"/>
      <c r="AF48" s="58"/>
      <c r="AG48" s="58"/>
      <c r="AH48" s="58"/>
      <c r="AI48" s="42"/>
    </row>
    <row r="49" spans="1:35" x14ac:dyDescent="0.3">
      <c r="A49" s="58"/>
      <c r="B49" s="58"/>
      <c r="C49" s="141"/>
      <c r="D49" s="156" t="s">
        <v>352</v>
      </c>
      <c r="E49" s="141"/>
      <c r="F49" s="41">
        <v>10860</v>
      </c>
      <c r="G49" s="41"/>
      <c r="H49" s="41">
        <f t="shared" si="8"/>
        <v>10860</v>
      </c>
      <c r="I49" s="69">
        <f>$F$49*I2*I4</f>
        <v>22154.400000000001</v>
      </c>
      <c r="J49" s="69">
        <f t="shared" ref="J49:T49" si="10">$F$49*J2*J4</f>
        <v>22154.400000000001</v>
      </c>
      <c r="K49" s="69">
        <f t="shared" si="10"/>
        <v>33231.599999999999</v>
      </c>
      <c r="L49" s="69">
        <f t="shared" si="10"/>
        <v>22154.400000000001</v>
      </c>
      <c r="M49" s="69">
        <f t="shared" si="10"/>
        <v>22154.400000000001</v>
      </c>
      <c r="N49" s="69">
        <f t="shared" si="10"/>
        <v>22154.400000000001</v>
      </c>
      <c r="O49" s="69">
        <f t="shared" si="10"/>
        <v>22154.400000000001</v>
      </c>
      <c r="P49" s="69">
        <f t="shared" si="10"/>
        <v>33231.599999999999</v>
      </c>
      <c r="Q49" s="69">
        <f t="shared" si="10"/>
        <v>22154.400000000001</v>
      </c>
      <c r="R49" s="69">
        <f t="shared" si="10"/>
        <v>22154.400000000001</v>
      </c>
      <c r="S49" s="69">
        <f t="shared" si="10"/>
        <v>22154.400000000001</v>
      </c>
      <c r="T49" s="69">
        <f t="shared" si="10"/>
        <v>22154.400000000001</v>
      </c>
      <c r="U49" s="41">
        <f>SUM(I49:T49)</f>
        <v>288007.2</v>
      </c>
      <c r="V49" s="58"/>
      <c r="W49" s="58"/>
      <c r="X49" s="41"/>
      <c r="Y49" s="41"/>
      <c r="Z49" s="41"/>
      <c r="AA49" s="41"/>
      <c r="AB49" s="58"/>
      <c r="AC49" s="58"/>
      <c r="AD49" s="58"/>
      <c r="AE49" s="58"/>
      <c r="AF49" s="58"/>
      <c r="AG49" s="58"/>
      <c r="AH49" s="58"/>
      <c r="AI49" s="42"/>
    </row>
    <row r="50" spans="1:35" x14ac:dyDescent="0.3">
      <c r="A50" s="58"/>
      <c r="B50" s="58"/>
      <c r="C50" s="141"/>
      <c r="D50" s="141"/>
      <c r="E50" s="141"/>
      <c r="F50" s="151">
        <f>SUM(F44:F49)</f>
        <v>14462</v>
      </c>
      <c r="G50" s="41"/>
      <c r="H50" s="160">
        <f>H48+H49</f>
        <v>15659.76</v>
      </c>
      <c r="I50" s="160">
        <f t="shared" ref="I50:U50" si="11">I48+I49</f>
        <v>31945.910400000001</v>
      </c>
      <c r="J50" s="160">
        <f t="shared" si="11"/>
        <v>31945.910400000001</v>
      </c>
      <c r="K50" s="160">
        <f t="shared" si="11"/>
        <v>47918.865600000005</v>
      </c>
      <c r="L50" s="160">
        <f t="shared" si="11"/>
        <v>31945.910400000001</v>
      </c>
      <c r="M50" s="160">
        <f t="shared" si="11"/>
        <v>31945.910400000001</v>
      </c>
      <c r="N50" s="160">
        <f t="shared" si="11"/>
        <v>31945.910400000001</v>
      </c>
      <c r="O50" s="160">
        <f t="shared" si="11"/>
        <v>31945.910400000001</v>
      </c>
      <c r="P50" s="160">
        <f t="shared" si="11"/>
        <v>47918.865600000005</v>
      </c>
      <c r="Q50" s="160">
        <f t="shared" si="11"/>
        <v>31945.910400000001</v>
      </c>
      <c r="R50" s="160">
        <f t="shared" si="11"/>
        <v>31945.910400000001</v>
      </c>
      <c r="S50" s="160">
        <f t="shared" si="11"/>
        <v>31945.910400000001</v>
      </c>
      <c r="T50" s="160">
        <f t="shared" si="11"/>
        <v>31945.910400000001</v>
      </c>
      <c r="U50" s="160">
        <f t="shared" si="11"/>
        <v>415296.83520000003</v>
      </c>
      <c r="V50" s="58"/>
      <c r="W50" s="58"/>
      <c r="X50" s="41"/>
      <c r="Y50" s="41"/>
      <c r="Z50" s="41"/>
      <c r="AA50" s="41"/>
      <c r="AB50" s="58"/>
      <c r="AC50" s="58"/>
      <c r="AD50" s="58"/>
      <c r="AE50" s="58"/>
      <c r="AF50" s="58"/>
      <c r="AG50" s="58"/>
      <c r="AH50" s="58"/>
      <c r="AI50" s="42"/>
    </row>
    <row r="51" spans="1:35" x14ac:dyDescent="0.3">
      <c r="A51" s="58"/>
      <c r="B51" s="58"/>
      <c r="C51" s="141"/>
      <c r="D51" s="141"/>
      <c r="E51" s="141"/>
      <c r="F51" s="151">
        <f>F50+1198-H50</f>
        <v>0.23999999999978172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58" t="s">
        <v>354</v>
      </c>
      <c r="W51" s="161">
        <f>U50/$U$118</f>
        <v>0.14982601546090402</v>
      </c>
      <c r="X51" s="41">
        <f>($X$3/12)*W51</f>
        <v>4126.1460382868545</v>
      </c>
      <c r="Y51" s="41">
        <f>($Y$3)*W51</f>
        <v>0</v>
      </c>
      <c r="Z51" s="41">
        <f>$Z$3*W51/12</f>
        <v>291.26177405599742</v>
      </c>
      <c r="AA51" s="41">
        <f>$AA$3*W51/12</f>
        <v>532.00221569857808</v>
      </c>
      <c r="AB51" s="58"/>
      <c r="AC51" s="58"/>
      <c r="AD51" s="58"/>
      <c r="AE51" s="58"/>
      <c r="AF51" s="58"/>
      <c r="AG51" s="58"/>
      <c r="AH51" s="58"/>
      <c r="AI51" s="42"/>
    </row>
    <row r="52" spans="1:35" x14ac:dyDescent="0.3">
      <c r="A52" s="58"/>
      <c r="B52" s="58"/>
      <c r="C52" s="141"/>
      <c r="D52" s="141"/>
      <c r="E52" s="1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58" t="s">
        <v>354</v>
      </c>
      <c r="W52" s="58"/>
      <c r="X52" s="41"/>
      <c r="Y52" s="41"/>
      <c r="Z52" s="41"/>
      <c r="AA52" s="41"/>
      <c r="AB52" s="58"/>
      <c r="AC52" s="58"/>
      <c r="AD52" s="58"/>
      <c r="AE52" s="58"/>
      <c r="AF52" s="58"/>
      <c r="AG52" s="58"/>
      <c r="AH52" s="58"/>
      <c r="AI52" s="42"/>
    </row>
    <row r="53" spans="1:35" x14ac:dyDescent="0.3">
      <c r="A53" s="58"/>
      <c r="B53" s="58"/>
      <c r="C53" s="141"/>
      <c r="D53" s="141"/>
      <c r="E53" s="1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58" t="s">
        <v>354</v>
      </c>
      <c r="W53" s="58"/>
      <c r="X53" s="41"/>
      <c r="Y53" s="41"/>
      <c r="Z53" s="41"/>
      <c r="AA53" s="41"/>
      <c r="AB53" s="58"/>
      <c r="AC53" s="58"/>
      <c r="AD53" s="58"/>
      <c r="AE53" s="58"/>
      <c r="AF53" s="58"/>
      <c r="AG53" s="58"/>
      <c r="AH53" s="58"/>
      <c r="AI53" s="42"/>
    </row>
    <row r="54" spans="1:35" x14ac:dyDescent="0.3">
      <c r="A54" s="58" t="s">
        <v>288</v>
      </c>
      <c r="B54" s="58"/>
      <c r="C54" s="141"/>
      <c r="D54" s="141"/>
      <c r="E54" s="1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58" t="s">
        <v>354</v>
      </c>
      <c r="W54" s="58"/>
      <c r="X54" s="41"/>
      <c r="Y54" s="41"/>
      <c r="Z54" s="41"/>
      <c r="AA54" s="41"/>
      <c r="AB54" s="58"/>
      <c r="AC54" s="58"/>
      <c r="AD54" s="58"/>
      <c r="AE54" s="58"/>
      <c r="AF54" s="58"/>
      <c r="AG54" s="58"/>
      <c r="AH54" s="58"/>
      <c r="AI54" s="42"/>
    </row>
    <row r="55" spans="1:35" x14ac:dyDescent="0.3">
      <c r="A55" s="58"/>
      <c r="B55" s="58"/>
      <c r="C55" s="141"/>
      <c r="D55" s="141"/>
      <c r="E55" s="1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58" t="s">
        <v>354</v>
      </c>
      <c r="W55" s="58"/>
      <c r="X55" s="41"/>
      <c r="Y55" s="41"/>
      <c r="Z55" s="41"/>
      <c r="AA55" s="41"/>
      <c r="AB55" s="58"/>
      <c r="AC55" s="58"/>
      <c r="AD55" s="58"/>
      <c r="AE55" s="58"/>
      <c r="AF55" s="58"/>
      <c r="AG55" s="58"/>
      <c r="AH55" s="58"/>
      <c r="AI55" s="42"/>
    </row>
    <row r="56" spans="1:35" x14ac:dyDescent="0.3">
      <c r="A56" s="58"/>
      <c r="B56" s="58"/>
      <c r="C56" s="141"/>
      <c r="D56" s="157" t="s">
        <v>349</v>
      </c>
      <c r="E56" s="157"/>
      <c r="F56" s="158">
        <v>0</v>
      </c>
      <c r="G56" s="158">
        <v>1197.76</v>
      </c>
      <c r="H56" s="41">
        <f t="shared" ref="H56:H60" si="12">SUM(F56:G56)</f>
        <v>1197.76</v>
      </c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58" t="s">
        <v>354</v>
      </c>
      <c r="W56" s="58"/>
      <c r="X56" s="41"/>
      <c r="Y56" s="41"/>
      <c r="Z56" s="41"/>
      <c r="AA56" s="41"/>
      <c r="AB56" s="58"/>
      <c r="AC56" s="58"/>
      <c r="AD56" s="58"/>
      <c r="AE56" s="58"/>
      <c r="AF56" s="58"/>
      <c r="AG56" s="58"/>
      <c r="AH56" s="58"/>
      <c r="AI56" s="42"/>
    </row>
    <row r="57" spans="1:35" x14ac:dyDescent="0.3">
      <c r="A57" s="58"/>
      <c r="B57" s="58"/>
      <c r="C57" s="141"/>
      <c r="D57" s="141" t="s">
        <v>350</v>
      </c>
      <c r="E57" s="141"/>
      <c r="F57" s="41">
        <f>19.8*40</f>
        <v>792</v>
      </c>
      <c r="G57" s="41"/>
      <c r="H57" s="41">
        <f t="shared" si="12"/>
        <v>792</v>
      </c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58"/>
      <c r="W57" s="58"/>
      <c r="X57" s="41"/>
      <c r="Y57" s="41"/>
      <c r="Z57" s="41"/>
      <c r="AA57" s="41"/>
      <c r="AB57" s="58"/>
      <c r="AC57" s="58"/>
      <c r="AD57" s="58"/>
      <c r="AE57" s="58"/>
      <c r="AF57" s="58"/>
      <c r="AG57" s="58"/>
      <c r="AH57" s="58"/>
      <c r="AI57" s="42"/>
    </row>
    <row r="58" spans="1:35" x14ac:dyDescent="0.3">
      <c r="A58" s="58"/>
      <c r="B58" s="58"/>
      <c r="C58" s="141"/>
      <c r="D58" s="141" t="s">
        <v>168</v>
      </c>
      <c r="E58" s="141"/>
      <c r="F58" s="41">
        <v>2131.98</v>
      </c>
      <c r="G58" s="41"/>
      <c r="H58" s="41">
        <f t="shared" si="12"/>
        <v>2131.98</v>
      </c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58" t="s">
        <v>354</v>
      </c>
      <c r="W58" s="58"/>
      <c r="X58" s="41"/>
      <c r="Y58" s="41"/>
      <c r="Z58" s="41"/>
      <c r="AA58" s="41"/>
      <c r="AB58" s="58"/>
      <c r="AC58" s="58"/>
      <c r="AD58" s="58"/>
      <c r="AE58" s="58"/>
      <c r="AF58" s="58"/>
      <c r="AG58" s="58"/>
      <c r="AH58" s="58"/>
      <c r="AI58" s="42"/>
    </row>
    <row r="59" spans="1:35" x14ac:dyDescent="0.3">
      <c r="A59" s="58"/>
      <c r="B59" s="58"/>
      <c r="C59" s="141"/>
      <c r="D59" s="141" t="s">
        <v>351</v>
      </c>
      <c r="E59" s="141"/>
      <c r="F59" s="41" t="s">
        <v>99</v>
      </c>
      <c r="G59" s="41"/>
      <c r="H59" s="41">
        <f>SUM(H56:H58)</f>
        <v>4121.74</v>
      </c>
      <c r="I59" s="69">
        <f t="shared" ref="I59:T59" si="13">$H$59*I3*I2</f>
        <v>8408.3495999999996</v>
      </c>
      <c r="J59" s="69">
        <f t="shared" si="13"/>
        <v>8408.3495999999996</v>
      </c>
      <c r="K59" s="69">
        <f t="shared" si="13"/>
        <v>12612.524399999998</v>
      </c>
      <c r="L59" s="69">
        <f t="shared" si="13"/>
        <v>8408.3495999999996</v>
      </c>
      <c r="M59" s="69">
        <f t="shared" si="13"/>
        <v>8408.3495999999996</v>
      </c>
      <c r="N59" s="69">
        <f t="shared" si="13"/>
        <v>8408.3495999999996</v>
      </c>
      <c r="O59" s="69">
        <f t="shared" si="13"/>
        <v>8408.3495999999996</v>
      </c>
      <c r="P59" s="69">
        <f t="shared" si="13"/>
        <v>12612.524399999998</v>
      </c>
      <c r="Q59" s="69">
        <f t="shared" si="13"/>
        <v>8408.3495999999996</v>
      </c>
      <c r="R59" s="69">
        <f t="shared" si="13"/>
        <v>8408.3495999999996</v>
      </c>
      <c r="S59" s="69">
        <f t="shared" si="13"/>
        <v>8408.3495999999996</v>
      </c>
      <c r="T59" s="69">
        <f t="shared" si="13"/>
        <v>8408.3495999999996</v>
      </c>
      <c r="U59" s="41">
        <f>SUM(I59:T59)</f>
        <v>109308.5448</v>
      </c>
      <c r="V59" s="58" t="s">
        <v>354</v>
      </c>
      <c r="W59" s="58"/>
      <c r="X59" s="41"/>
      <c r="Y59" s="41"/>
      <c r="Z59" s="41"/>
      <c r="AA59" s="41"/>
      <c r="AB59" s="58"/>
      <c r="AC59" s="58"/>
      <c r="AD59" s="58"/>
      <c r="AE59" s="58"/>
      <c r="AF59" s="58"/>
      <c r="AG59" s="58"/>
      <c r="AH59" s="58"/>
      <c r="AI59" s="42"/>
    </row>
    <row r="60" spans="1:35" x14ac:dyDescent="0.3">
      <c r="A60" s="58"/>
      <c r="B60" s="58"/>
      <c r="C60" s="141"/>
      <c r="D60" s="141" t="s">
        <v>169</v>
      </c>
      <c r="E60" s="141"/>
      <c r="F60" s="41">
        <v>6170</v>
      </c>
      <c r="G60" s="41"/>
      <c r="H60" s="41">
        <f t="shared" si="12"/>
        <v>6170</v>
      </c>
      <c r="I60" s="69">
        <f t="shared" ref="I60:T60" si="14">$H$60*I2*I4</f>
        <v>12586.800000000001</v>
      </c>
      <c r="J60" s="69">
        <f t="shared" si="14"/>
        <v>12586.800000000001</v>
      </c>
      <c r="K60" s="69">
        <f t="shared" si="14"/>
        <v>18880.2</v>
      </c>
      <c r="L60" s="69">
        <f t="shared" si="14"/>
        <v>12586.800000000001</v>
      </c>
      <c r="M60" s="69">
        <f t="shared" si="14"/>
        <v>12586.800000000001</v>
      </c>
      <c r="N60" s="69">
        <f t="shared" si="14"/>
        <v>12586.800000000001</v>
      </c>
      <c r="O60" s="69">
        <f t="shared" si="14"/>
        <v>12586.800000000001</v>
      </c>
      <c r="P60" s="69">
        <f t="shared" si="14"/>
        <v>18880.2</v>
      </c>
      <c r="Q60" s="69">
        <f t="shared" si="14"/>
        <v>12586.800000000001</v>
      </c>
      <c r="R60" s="69">
        <f t="shared" si="14"/>
        <v>12586.800000000001</v>
      </c>
      <c r="S60" s="69">
        <f t="shared" si="14"/>
        <v>12586.800000000001</v>
      </c>
      <c r="T60" s="69">
        <f t="shared" si="14"/>
        <v>12586.800000000001</v>
      </c>
      <c r="U60" s="41">
        <f>SUM(I60:T60)</f>
        <v>163628.4</v>
      </c>
      <c r="V60" s="58" t="s">
        <v>354</v>
      </c>
      <c r="W60" s="58"/>
      <c r="X60" s="41"/>
      <c r="Y60" s="41"/>
      <c r="Z60" s="41"/>
      <c r="AA60" s="41"/>
      <c r="AB60" s="58"/>
      <c r="AC60" s="58"/>
      <c r="AD60" s="58"/>
      <c r="AE60" s="58"/>
      <c r="AF60" s="58"/>
      <c r="AG60" s="58"/>
      <c r="AH60" s="58"/>
      <c r="AI60" s="42"/>
    </row>
    <row r="61" spans="1:35" x14ac:dyDescent="0.3">
      <c r="A61" s="58"/>
      <c r="B61" s="58"/>
      <c r="C61" s="141"/>
      <c r="D61" s="141"/>
      <c r="E61" s="141"/>
      <c r="F61" s="151">
        <f>SUM(F57:F60)</f>
        <v>9093.98</v>
      </c>
      <c r="G61" s="41"/>
      <c r="H61" s="160">
        <f>H59+H60</f>
        <v>10291.74</v>
      </c>
      <c r="I61" s="160">
        <f t="shared" ref="I61:U61" si="15">I59+I60</f>
        <v>20995.149600000001</v>
      </c>
      <c r="J61" s="160">
        <f t="shared" si="15"/>
        <v>20995.149600000001</v>
      </c>
      <c r="K61" s="160">
        <f t="shared" si="15"/>
        <v>31492.724399999999</v>
      </c>
      <c r="L61" s="160">
        <f t="shared" si="15"/>
        <v>20995.149600000001</v>
      </c>
      <c r="M61" s="160">
        <f t="shared" si="15"/>
        <v>20995.149600000001</v>
      </c>
      <c r="N61" s="160">
        <f t="shared" si="15"/>
        <v>20995.149600000001</v>
      </c>
      <c r="O61" s="160">
        <f t="shared" si="15"/>
        <v>20995.149600000001</v>
      </c>
      <c r="P61" s="160">
        <f t="shared" si="15"/>
        <v>31492.724399999999</v>
      </c>
      <c r="Q61" s="160">
        <f t="shared" si="15"/>
        <v>20995.149600000001</v>
      </c>
      <c r="R61" s="160">
        <f t="shared" si="15"/>
        <v>20995.149600000001</v>
      </c>
      <c r="S61" s="160">
        <f t="shared" si="15"/>
        <v>20995.149600000001</v>
      </c>
      <c r="T61" s="160">
        <f t="shared" si="15"/>
        <v>20995.149600000001</v>
      </c>
      <c r="U61" s="160">
        <f t="shared" si="15"/>
        <v>272936.9448</v>
      </c>
      <c r="V61" s="58" t="s">
        <v>354</v>
      </c>
      <c r="W61" s="161">
        <f>U61/$U$118</f>
        <v>9.8467051625286989E-2</v>
      </c>
      <c r="X61" s="41">
        <f>($X$3/12)*W61</f>
        <v>2711.7415738222262</v>
      </c>
      <c r="Y61" s="41">
        <f>($Y$3)*W61</f>
        <v>0</v>
      </c>
      <c r="Z61" s="41">
        <f>$Z$3*W61/12</f>
        <v>191.41994835955791</v>
      </c>
      <c r="AA61" s="41">
        <f>$AA$3*W61/12</f>
        <v>349.63680691106907</v>
      </c>
      <c r="AB61" s="58"/>
      <c r="AC61" s="58"/>
      <c r="AD61" s="58"/>
      <c r="AE61" s="58"/>
      <c r="AF61" s="58"/>
      <c r="AG61" s="58"/>
      <c r="AH61" s="58"/>
      <c r="AI61" s="42"/>
    </row>
    <row r="62" spans="1:35" x14ac:dyDescent="0.3">
      <c r="A62" s="58"/>
      <c r="B62" s="58"/>
      <c r="C62" s="141"/>
      <c r="D62" s="141"/>
      <c r="E62" s="141"/>
      <c r="F62" s="41">
        <f>F61+1198-H61</f>
        <v>0.23999999999978172</v>
      </c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58" t="s">
        <v>354</v>
      </c>
      <c r="W62" s="58"/>
      <c r="X62" s="41"/>
      <c r="Y62" s="41"/>
      <c r="Z62" s="41"/>
      <c r="AA62" s="41"/>
      <c r="AB62" s="58"/>
      <c r="AC62" s="58"/>
      <c r="AD62" s="58"/>
      <c r="AE62" s="58"/>
      <c r="AF62" s="58"/>
      <c r="AG62" s="58"/>
      <c r="AH62" s="58"/>
      <c r="AI62" s="42"/>
    </row>
    <row r="63" spans="1:35" x14ac:dyDescent="0.3">
      <c r="A63" s="156" t="s">
        <v>147</v>
      </c>
      <c r="B63" s="58"/>
      <c r="C63" s="141"/>
      <c r="D63" s="141"/>
      <c r="E63" s="1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58" t="s">
        <v>354</v>
      </c>
      <c r="W63" s="58"/>
      <c r="X63" s="41"/>
      <c r="Y63" s="41"/>
      <c r="Z63" s="41"/>
      <c r="AA63" s="41"/>
      <c r="AB63" s="58"/>
      <c r="AC63" s="58"/>
      <c r="AD63" s="58"/>
      <c r="AE63" s="58"/>
      <c r="AF63" s="58"/>
      <c r="AG63" s="58"/>
      <c r="AH63" s="58"/>
      <c r="AI63" s="42"/>
    </row>
    <row r="64" spans="1:35" x14ac:dyDescent="0.3">
      <c r="A64" s="58"/>
      <c r="B64" s="58"/>
      <c r="C64" s="141"/>
      <c r="D64" s="157" t="s">
        <v>349</v>
      </c>
      <c r="E64" s="157"/>
      <c r="F64" s="158">
        <v>0</v>
      </c>
      <c r="G64" s="158">
        <v>1197.76</v>
      </c>
      <c r="H64" s="41">
        <f t="shared" ref="H64:H68" si="16">SUM(F64:G64)</f>
        <v>1197.76</v>
      </c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58" t="s">
        <v>354</v>
      </c>
      <c r="W64" s="58"/>
      <c r="X64" s="41"/>
      <c r="Y64" s="41"/>
      <c r="Z64" s="41"/>
      <c r="AA64" s="41"/>
      <c r="AB64" s="58"/>
      <c r="AC64" s="58"/>
      <c r="AD64" s="58"/>
      <c r="AE64" s="58"/>
      <c r="AF64" s="58"/>
      <c r="AG64" s="58"/>
      <c r="AH64" s="58"/>
      <c r="AI64" s="42"/>
    </row>
    <row r="65" spans="1:35" x14ac:dyDescent="0.3">
      <c r="A65" s="58"/>
      <c r="B65" s="58"/>
      <c r="C65" s="141"/>
      <c r="D65" s="141" t="s">
        <v>172</v>
      </c>
      <c r="E65" s="141"/>
      <c r="F65" s="41">
        <f>F47</f>
        <v>792</v>
      </c>
      <c r="G65" s="41"/>
      <c r="H65" s="41">
        <f t="shared" si="16"/>
        <v>792</v>
      </c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58" t="s">
        <v>354</v>
      </c>
      <c r="W65" s="58"/>
      <c r="X65" s="41"/>
      <c r="Y65" s="41"/>
      <c r="Z65" s="41"/>
      <c r="AA65" s="41"/>
      <c r="AB65" s="58"/>
      <c r="AC65" s="58"/>
      <c r="AD65" s="58"/>
      <c r="AE65" s="58"/>
      <c r="AF65" s="58"/>
      <c r="AG65" s="58"/>
      <c r="AH65" s="58"/>
      <c r="AI65" s="42"/>
    </row>
    <row r="66" spans="1:35" x14ac:dyDescent="0.3">
      <c r="A66" s="58"/>
      <c r="B66" s="58"/>
      <c r="C66" s="141"/>
      <c r="D66" s="141" t="s">
        <v>168</v>
      </c>
      <c r="E66" s="141"/>
      <c r="F66" s="41">
        <v>2251.89</v>
      </c>
      <c r="G66" s="41"/>
      <c r="H66" s="41">
        <f t="shared" si="16"/>
        <v>2251.89</v>
      </c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58" t="s">
        <v>354</v>
      </c>
      <c r="W66" s="58"/>
      <c r="X66" s="41"/>
      <c r="Y66" s="41"/>
      <c r="Z66" s="41"/>
      <c r="AA66" s="41"/>
      <c r="AB66" s="58"/>
      <c r="AC66" s="58"/>
      <c r="AD66" s="58"/>
      <c r="AE66" s="58"/>
      <c r="AF66" s="58"/>
      <c r="AG66" s="58"/>
      <c r="AH66" s="58"/>
      <c r="AI66" s="42"/>
    </row>
    <row r="67" spans="1:35" x14ac:dyDescent="0.3">
      <c r="A67" s="58"/>
      <c r="B67" s="58"/>
      <c r="C67" s="141"/>
      <c r="D67" s="141"/>
      <c r="E67" s="141"/>
      <c r="F67" s="41"/>
      <c r="G67" s="41"/>
      <c r="H67" s="41">
        <f>SUM(H64:H66)</f>
        <v>4241.6499999999996</v>
      </c>
      <c r="I67" s="41">
        <f>$H$67*I4*I2</f>
        <v>8652.9659999999985</v>
      </c>
      <c r="J67" s="41">
        <f t="shared" ref="J67:T67" si="17">$H$67*J4*J2</f>
        <v>8652.9659999999985</v>
      </c>
      <c r="K67" s="41">
        <f t="shared" si="17"/>
        <v>12979.448999999997</v>
      </c>
      <c r="L67" s="41">
        <f t="shared" si="17"/>
        <v>8652.9659999999985</v>
      </c>
      <c r="M67" s="41">
        <f t="shared" si="17"/>
        <v>8652.9659999999985</v>
      </c>
      <c r="N67" s="41">
        <f t="shared" si="17"/>
        <v>8652.9659999999985</v>
      </c>
      <c r="O67" s="41">
        <f t="shared" si="17"/>
        <v>8652.9659999999985</v>
      </c>
      <c r="P67" s="41">
        <f t="shared" si="17"/>
        <v>12979.448999999997</v>
      </c>
      <c r="Q67" s="41">
        <f t="shared" si="17"/>
        <v>8652.9659999999985</v>
      </c>
      <c r="R67" s="41">
        <f t="shared" si="17"/>
        <v>8652.9659999999985</v>
      </c>
      <c r="S67" s="41">
        <f t="shared" si="17"/>
        <v>8652.9659999999985</v>
      </c>
      <c r="T67" s="41">
        <f t="shared" si="17"/>
        <v>8652.9659999999985</v>
      </c>
      <c r="U67" s="41">
        <f>SUM(I67:T67)</f>
        <v>112488.55799999999</v>
      </c>
      <c r="V67" s="58"/>
      <c r="W67" s="58"/>
      <c r="X67" s="41"/>
      <c r="Y67" s="41"/>
      <c r="Z67" s="41"/>
      <c r="AA67" s="41"/>
      <c r="AB67" s="58"/>
      <c r="AC67" s="58"/>
      <c r="AD67" s="58"/>
      <c r="AE67" s="58"/>
      <c r="AF67" s="58"/>
      <c r="AG67" s="58"/>
      <c r="AH67" s="58"/>
      <c r="AI67" s="42"/>
    </row>
    <row r="68" spans="1:35" x14ac:dyDescent="0.3">
      <c r="A68" s="58"/>
      <c r="B68" s="58"/>
      <c r="C68" s="141"/>
      <c r="D68" s="141" t="s">
        <v>169</v>
      </c>
      <c r="E68" s="141"/>
      <c r="F68" s="41">
        <v>6905</v>
      </c>
      <c r="G68" s="41"/>
      <c r="H68" s="41">
        <f t="shared" si="16"/>
        <v>6905</v>
      </c>
      <c r="I68" s="41">
        <f t="shared" ref="I68:T68" si="18">$F$68*I2*I4</f>
        <v>14086.2</v>
      </c>
      <c r="J68" s="41">
        <f t="shared" si="18"/>
        <v>14086.2</v>
      </c>
      <c r="K68" s="41">
        <f t="shared" si="18"/>
        <v>21129.3</v>
      </c>
      <c r="L68" s="41">
        <f t="shared" si="18"/>
        <v>14086.2</v>
      </c>
      <c r="M68" s="41">
        <f t="shared" si="18"/>
        <v>14086.2</v>
      </c>
      <c r="N68" s="41">
        <f t="shared" si="18"/>
        <v>14086.2</v>
      </c>
      <c r="O68" s="41">
        <f t="shared" si="18"/>
        <v>14086.2</v>
      </c>
      <c r="P68" s="41">
        <f t="shared" si="18"/>
        <v>21129.3</v>
      </c>
      <c r="Q68" s="41">
        <f t="shared" si="18"/>
        <v>14086.2</v>
      </c>
      <c r="R68" s="41">
        <f t="shared" si="18"/>
        <v>14086.2</v>
      </c>
      <c r="S68" s="41">
        <f t="shared" si="18"/>
        <v>14086.2</v>
      </c>
      <c r="T68" s="41">
        <f t="shared" si="18"/>
        <v>14086.2</v>
      </c>
      <c r="U68" s="41">
        <f>SUM(I68:T68)</f>
        <v>183120.60000000003</v>
      </c>
      <c r="V68" s="58" t="s">
        <v>354</v>
      </c>
      <c r="W68" s="58"/>
      <c r="X68" s="41"/>
      <c r="Y68" s="41"/>
      <c r="Z68" s="41"/>
      <c r="AA68" s="41"/>
      <c r="AB68" s="58"/>
      <c r="AC68" s="58"/>
      <c r="AD68" s="58"/>
      <c r="AE68" s="58"/>
      <c r="AF68" s="58"/>
      <c r="AG68" s="58"/>
      <c r="AH68" s="58"/>
      <c r="AI68" s="42"/>
    </row>
    <row r="69" spans="1:35" x14ac:dyDescent="0.3">
      <c r="A69" s="58"/>
      <c r="B69" s="58"/>
      <c r="C69" s="141"/>
      <c r="D69" s="141"/>
      <c r="E69" s="141"/>
      <c r="F69" s="151">
        <f>SUM(F64:F68)</f>
        <v>9948.89</v>
      </c>
      <c r="G69" s="41"/>
      <c r="H69" s="160">
        <f>SUM(H67:H68)</f>
        <v>11146.65</v>
      </c>
      <c r="I69" s="160">
        <f t="shared" ref="I69:T69" si="19">SUM(I67:I68)</f>
        <v>22739.165999999997</v>
      </c>
      <c r="J69" s="160">
        <f t="shared" si="19"/>
        <v>22739.165999999997</v>
      </c>
      <c r="K69" s="160">
        <f t="shared" si="19"/>
        <v>34108.748999999996</v>
      </c>
      <c r="L69" s="160">
        <f t="shared" si="19"/>
        <v>22739.165999999997</v>
      </c>
      <c r="M69" s="160">
        <f t="shared" si="19"/>
        <v>22739.165999999997</v>
      </c>
      <c r="N69" s="160">
        <f t="shared" si="19"/>
        <v>22739.165999999997</v>
      </c>
      <c r="O69" s="160">
        <f t="shared" si="19"/>
        <v>22739.165999999997</v>
      </c>
      <c r="P69" s="160">
        <f t="shared" si="19"/>
        <v>34108.748999999996</v>
      </c>
      <c r="Q69" s="160">
        <f t="shared" si="19"/>
        <v>22739.165999999997</v>
      </c>
      <c r="R69" s="160">
        <f t="shared" si="19"/>
        <v>22739.165999999997</v>
      </c>
      <c r="S69" s="160">
        <f t="shared" si="19"/>
        <v>22739.165999999997</v>
      </c>
      <c r="T69" s="160">
        <f t="shared" si="19"/>
        <v>22739.165999999997</v>
      </c>
      <c r="U69" s="160">
        <f t="shared" ref="U69" si="20">U67+U68</f>
        <v>295609.15800000005</v>
      </c>
      <c r="V69" s="58" t="s">
        <v>354</v>
      </c>
      <c r="W69" s="161">
        <f>U69/$U$118</f>
        <v>0.10664647192787667</v>
      </c>
      <c r="X69" s="41">
        <f>($X$3/12)*W69</f>
        <v>2936.9994008637536</v>
      </c>
      <c r="Y69" s="41">
        <f>($Y$3)*W69</f>
        <v>0</v>
      </c>
      <c r="Z69" s="41">
        <f>$Z$3*W69/12</f>
        <v>207.32074142779223</v>
      </c>
      <c r="AA69" s="41">
        <f>$AA$3*W69/12</f>
        <v>378.6802925215045</v>
      </c>
      <c r="AB69" s="58"/>
      <c r="AC69" s="58"/>
      <c r="AD69" s="58"/>
      <c r="AE69" s="58"/>
      <c r="AF69" s="58"/>
      <c r="AG69" s="58"/>
      <c r="AH69" s="58"/>
      <c r="AI69" s="42"/>
    </row>
    <row r="70" spans="1:35" x14ac:dyDescent="0.3">
      <c r="A70" s="58"/>
      <c r="B70" s="58"/>
      <c r="C70" s="141"/>
      <c r="D70" s="141"/>
      <c r="E70" s="141"/>
      <c r="F70" s="151">
        <f>F69+1198-H69</f>
        <v>0.23999999999978172</v>
      </c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58" t="s">
        <v>354</v>
      </c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42"/>
    </row>
    <row r="71" spans="1:35" x14ac:dyDescent="0.3">
      <c r="A71" s="156" t="s">
        <v>160</v>
      </c>
      <c r="B71" s="58"/>
      <c r="C71" s="141"/>
      <c r="D71" s="141"/>
      <c r="E71" s="141"/>
      <c r="F71" s="41" t="s">
        <v>99</v>
      </c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58" t="s">
        <v>354</v>
      </c>
      <c r="W71" s="58"/>
      <c r="X71" s="41"/>
      <c r="Y71" s="41"/>
      <c r="Z71" s="41"/>
      <c r="AA71" s="41"/>
      <c r="AB71" s="58"/>
      <c r="AC71" s="58"/>
      <c r="AD71" s="58"/>
      <c r="AE71" s="58"/>
      <c r="AF71" s="58"/>
      <c r="AG71" s="58"/>
      <c r="AH71" s="58"/>
      <c r="AI71" s="42"/>
    </row>
    <row r="72" spans="1:35" x14ac:dyDescent="0.3">
      <c r="A72" s="58"/>
      <c r="B72" s="58"/>
      <c r="C72" s="156"/>
      <c r="D72" s="141"/>
      <c r="E72" s="141"/>
      <c r="F72" s="41" t="s">
        <v>99</v>
      </c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58" t="s">
        <v>354</v>
      </c>
      <c r="W72" s="58"/>
      <c r="X72" s="41"/>
      <c r="Y72" s="41"/>
      <c r="Z72" s="41"/>
      <c r="AA72" s="41"/>
      <c r="AB72" s="58"/>
      <c r="AC72" s="58"/>
      <c r="AD72" s="58"/>
      <c r="AE72" s="58"/>
      <c r="AF72" s="58"/>
      <c r="AG72" s="58"/>
      <c r="AH72" s="58"/>
      <c r="AI72" s="42"/>
    </row>
    <row r="73" spans="1:35" x14ac:dyDescent="0.3">
      <c r="A73" s="58"/>
      <c r="B73" s="58"/>
      <c r="C73" s="156"/>
      <c r="D73" s="141" t="s">
        <v>143</v>
      </c>
      <c r="E73" s="141"/>
      <c r="F73" s="41">
        <v>1985.97</v>
      </c>
      <c r="G73" s="41">
        <v>-1986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58" t="s">
        <v>354</v>
      </c>
      <c r="W73" s="58"/>
      <c r="X73" s="41"/>
      <c r="Y73" s="41"/>
      <c r="Z73" s="41"/>
      <c r="AA73" s="41"/>
      <c r="AB73" s="58"/>
      <c r="AC73" s="58"/>
      <c r="AD73" s="58"/>
      <c r="AE73" s="58"/>
      <c r="AF73" s="58"/>
      <c r="AG73" s="58"/>
      <c r="AH73" s="58"/>
      <c r="AI73" s="42"/>
    </row>
    <row r="74" spans="1:35" x14ac:dyDescent="0.3">
      <c r="A74" s="58"/>
      <c r="B74" s="58"/>
      <c r="C74" s="156"/>
      <c r="D74" s="141" t="s">
        <v>167</v>
      </c>
      <c r="E74" s="141"/>
      <c r="F74" s="41">
        <f>19*80</f>
        <v>1520</v>
      </c>
      <c r="G74" s="41">
        <v>-1520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58" t="s">
        <v>354</v>
      </c>
      <c r="W74" s="161">
        <f>U74/$U$118</f>
        <v>0</v>
      </c>
      <c r="X74" s="41">
        <f>($X$3/12)*W74</f>
        <v>0</v>
      </c>
      <c r="Y74" s="41">
        <f>($Y$3/12)*W74</f>
        <v>0</v>
      </c>
      <c r="Z74" s="41">
        <f>($Z$3/12)*W74</f>
        <v>0</v>
      </c>
      <c r="AA74" s="41">
        <f>($AA$3/12)*W74</f>
        <v>0</v>
      </c>
      <c r="AB74" s="58"/>
      <c r="AC74" s="58"/>
      <c r="AD74" s="58"/>
      <c r="AE74" s="58"/>
      <c r="AF74" s="58"/>
      <c r="AG74" s="58"/>
      <c r="AH74" s="58"/>
      <c r="AI74" s="42"/>
    </row>
    <row r="75" spans="1:35" x14ac:dyDescent="0.3">
      <c r="A75" s="58"/>
      <c r="B75" s="58"/>
      <c r="C75" s="156"/>
      <c r="D75" s="141"/>
      <c r="E75" s="141"/>
      <c r="F75" s="151">
        <f>SUM(F73:F74)</f>
        <v>3505.9700000000003</v>
      </c>
      <c r="G75" s="41"/>
      <c r="H75" s="41"/>
      <c r="I75" s="162">
        <f>$H$69*I8*I9</f>
        <v>0</v>
      </c>
      <c r="J75" s="151">
        <f t="shared" ref="J75:T75" si="21">SUM(J73:J74)</f>
        <v>0</v>
      </c>
      <c r="K75" s="151">
        <f t="shared" si="21"/>
        <v>0</v>
      </c>
      <c r="L75" s="151">
        <f t="shared" si="21"/>
        <v>0</v>
      </c>
      <c r="M75" s="151">
        <f t="shared" si="21"/>
        <v>0</v>
      </c>
      <c r="N75" s="151">
        <f t="shared" si="21"/>
        <v>0</v>
      </c>
      <c r="O75" s="151">
        <f t="shared" si="21"/>
        <v>0</v>
      </c>
      <c r="P75" s="151">
        <f t="shared" si="21"/>
        <v>0</v>
      </c>
      <c r="Q75" s="151">
        <f t="shared" si="21"/>
        <v>0</v>
      </c>
      <c r="R75" s="151">
        <f t="shared" si="21"/>
        <v>0</v>
      </c>
      <c r="S75" s="151">
        <f t="shared" si="21"/>
        <v>0</v>
      </c>
      <c r="T75" s="151">
        <f t="shared" si="21"/>
        <v>0</v>
      </c>
      <c r="U75" s="41"/>
      <c r="V75" s="58" t="s">
        <v>354</v>
      </c>
      <c r="W75" s="58"/>
      <c r="X75" s="41"/>
      <c r="Y75" s="41"/>
      <c r="Z75" s="41"/>
      <c r="AA75" s="41"/>
      <c r="AB75" s="58"/>
      <c r="AC75" s="58"/>
      <c r="AD75" s="58"/>
      <c r="AE75" s="58"/>
      <c r="AF75" s="58"/>
      <c r="AG75" s="58"/>
      <c r="AH75" s="58"/>
      <c r="AI75" s="42"/>
    </row>
    <row r="76" spans="1:35" x14ac:dyDescent="0.3">
      <c r="A76" s="58"/>
      <c r="B76" s="58"/>
      <c r="C76" s="141"/>
      <c r="D76" s="141"/>
      <c r="E76" s="1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58" t="s">
        <v>354</v>
      </c>
      <c r="W76" s="58"/>
      <c r="X76" s="41"/>
      <c r="Y76" s="41"/>
      <c r="Z76" s="41"/>
      <c r="AA76" s="41"/>
      <c r="AB76" s="58"/>
      <c r="AC76" s="58"/>
      <c r="AD76" s="58"/>
      <c r="AE76" s="58"/>
      <c r="AF76" s="58"/>
      <c r="AG76" s="58"/>
      <c r="AH76" s="58"/>
      <c r="AI76" s="42"/>
    </row>
    <row r="77" spans="1:35" x14ac:dyDescent="0.3">
      <c r="A77" s="156" t="s">
        <v>139</v>
      </c>
      <c r="B77" s="58"/>
      <c r="C77" s="141"/>
      <c r="D77" s="141"/>
      <c r="E77" s="1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58" t="s">
        <v>354</v>
      </c>
      <c r="W77" s="58"/>
      <c r="X77" s="41"/>
      <c r="Y77" s="41"/>
      <c r="Z77" s="41"/>
      <c r="AA77" s="41"/>
      <c r="AB77" s="58"/>
      <c r="AC77" s="58"/>
      <c r="AD77" s="58"/>
      <c r="AE77" s="58"/>
      <c r="AF77" s="58"/>
      <c r="AG77" s="58"/>
      <c r="AH77" s="58"/>
      <c r="AI77" s="42"/>
    </row>
    <row r="78" spans="1:35" x14ac:dyDescent="0.3">
      <c r="A78" s="58"/>
      <c r="B78" s="58"/>
      <c r="C78" s="141"/>
      <c r="D78" s="141" t="s">
        <v>355</v>
      </c>
      <c r="E78" s="141"/>
      <c r="F78" s="41">
        <f>F85</f>
        <v>0</v>
      </c>
      <c r="G78" s="41">
        <v>1169</v>
      </c>
      <c r="H78" s="41">
        <f t="shared" ref="H78:H81" si="22">SUM(F78:G78)</f>
        <v>1169</v>
      </c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58" t="s">
        <v>354</v>
      </c>
      <c r="W78" s="58"/>
      <c r="X78" s="41"/>
      <c r="Y78" s="41"/>
      <c r="Z78" s="41"/>
      <c r="AA78" s="41"/>
      <c r="AB78" s="58"/>
      <c r="AC78" s="58"/>
      <c r="AD78" s="58"/>
      <c r="AE78" s="58"/>
      <c r="AF78" s="58"/>
      <c r="AG78" s="58"/>
      <c r="AH78" s="58"/>
      <c r="AI78" s="42"/>
    </row>
    <row r="79" spans="1:35" x14ac:dyDescent="0.3">
      <c r="A79" s="58"/>
      <c r="B79" s="58"/>
      <c r="C79" s="141"/>
      <c r="D79" s="157" t="s">
        <v>349</v>
      </c>
      <c r="E79" s="157"/>
      <c r="F79" s="158">
        <v>0</v>
      </c>
      <c r="G79" s="158">
        <v>1197.76</v>
      </c>
      <c r="H79" s="41">
        <f t="shared" si="22"/>
        <v>1197.76</v>
      </c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58"/>
      <c r="W79" s="58"/>
      <c r="X79" s="41"/>
      <c r="Y79" s="41"/>
      <c r="Z79" s="41"/>
      <c r="AA79" s="41"/>
      <c r="AB79" s="58"/>
      <c r="AC79" s="58"/>
      <c r="AD79" s="58"/>
      <c r="AE79" s="58"/>
      <c r="AF79" s="58"/>
      <c r="AG79" s="58"/>
      <c r="AH79" s="58"/>
      <c r="AI79" s="42"/>
    </row>
    <row r="80" spans="1:35" x14ac:dyDescent="0.3">
      <c r="A80" s="58"/>
      <c r="B80" s="58"/>
      <c r="C80" s="141"/>
      <c r="D80" s="141"/>
      <c r="E80" s="141"/>
      <c r="F80" s="41"/>
      <c r="G80" s="41"/>
      <c r="H80" s="41">
        <f>SUM(H78:H79)</f>
        <v>2366.7600000000002</v>
      </c>
      <c r="I80" s="41">
        <f t="shared" ref="I80:T80" si="23">$H$80*I3*I2</f>
        <v>4828.1904000000004</v>
      </c>
      <c r="J80" s="41">
        <f t="shared" si="23"/>
        <v>4828.1904000000004</v>
      </c>
      <c r="K80" s="41">
        <f t="shared" si="23"/>
        <v>7242.2856000000011</v>
      </c>
      <c r="L80" s="41">
        <f t="shared" si="23"/>
        <v>4828.1904000000004</v>
      </c>
      <c r="M80" s="41">
        <f t="shared" si="23"/>
        <v>4828.1904000000004</v>
      </c>
      <c r="N80" s="41">
        <f t="shared" si="23"/>
        <v>4828.1904000000004</v>
      </c>
      <c r="O80" s="41">
        <f t="shared" si="23"/>
        <v>4828.1904000000004</v>
      </c>
      <c r="P80" s="41">
        <f t="shared" si="23"/>
        <v>7242.2856000000011</v>
      </c>
      <c r="Q80" s="41">
        <f t="shared" si="23"/>
        <v>4828.1904000000004</v>
      </c>
      <c r="R80" s="41">
        <f t="shared" si="23"/>
        <v>4828.1904000000004</v>
      </c>
      <c r="S80" s="41">
        <f t="shared" si="23"/>
        <v>4828.1904000000004</v>
      </c>
      <c r="T80" s="41">
        <f t="shared" si="23"/>
        <v>4828.1904000000004</v>
      </c>
      <c r="U80" s="41">
        <f>SUM(I80:T80)</f>
        <v>62766.475200000001</v>
      </c>
      <c r="V80" s="58" t="s">
        <v>354</v>
      </c>
      <c r="W80" s="58"/>
      <c r="X80" s="41"/>
      <c r="Y80" s="41"/>
      <c r="Z80" s="41"/>
      <c r="AA80" s="41"/>
      <c r="AB80" s="58"/>
      <c r="AC80" s="58"/>
      <c r="AD80" s="58"/>
      <c r="AE80" s="58"/>
      <c r="AF80" s="58"/>
      <c r="AG80" s="58"/>
      <c r="AH80" s="58"/>
      <c r="AI80" s="42"/>
    </row>
    <row r="81" spans="1:35" x14ac:dyDescent="0.3">
      <c r="A81" s="58"/>
      <c r="B81" s="58"/>
      <c r="C81" s="141"/>
      <c r="D81" s="141" t="s">
        <v>169</v>
      </c>
      <c r="E81" s="141"/>
      <c r="F81" s="41">
        <v>6660</v>
      </c>
      <c r="G81" s="41">
        <v>0</v>
      </c>
      <c r="H81" s="41">
        <f t="shared" si="22"/>
        <v>6660</v>
      </c>
      <c r="I81" s="41">
        <f t="shared" ref="I81:T81" si="24">$H$81*I2*I4</f>
        <v>13586.4</v>
      </c>
      <c r="J81" s="41">
        <f t="shared" si="24"/>
        <v>13586.4</v>
      </c>
      <c r="K81" s="41">
        <f t="shared" si="24"/>
        <v>20379.599999999999</v>
      </c>
      <c r="L81" s="41">
        <f t="shared" si="24"/>
        <v>13586.4</v>
      </c>
      <c r="M81" s="41">
        <f t="shared" si="24"/>
        <v>13586.4</v>
      </c>
      <c r="N81" s="41">
        <f t="shared" si="24"/>
        <v>13586.4</v>
      </c>
      <c r="O81" s="41">
        <f t="shared" si="24"/>
        <v>13586.4</v>
      </c>
      <c r="P81" s="41">
        <f t="shared" si="24"/>
        <v>20379.599999999999</v>
      </c>
      <c r="Q81" s="41">
        <f t="shared" si="24"/>
        <v>13586.4</v>
      </c>
      <c r="R81" s="41">
        <f t="shared" si="24"/>
        <v>13586.4</v>
      </c>
      <c r="S81" s="41">
        <f t="shared" si="24"/>
        <v>13586.4</v>
      </c>
      <c r="T81" s="41">
        <f t="shared" si="24"/>
        <v>13586.4</v>
      </c>
      <c r="U81" s="41">
        <f>SUM(I81:T81)</f>
        <v>176623.19999999995</v>
      </c>
      <c r="V81" s="58" t="s">
        <v>354</v>
      </c>
      <c r="W81" s="58"/>
      <c r="X81" s="41"/>
      <c r="Y81" s="41"/>
      <c r="Z81" s="41"/>
      <c r="AA81" s="41"/>
      <c r="AB81" s="58"/>
      <c r="AC81" s="58"/>
      <c r="AD81" s="58"/>
      <c r="AE81" s="58"/>
      <c r="AF81" s="58"/>
      <c r="AG81" s="58"/>
      <c r="AH81" s="58"/>
      <c r="AI81" s="42"/>
    </row>
    <row r="82" spans="1:35" x14ac:dyDescent="0.3">
      <c r="A82" s="58"/>
      <c r="B82" s="58"/>
      <c r="C82" s="141"/>
      <c r="D82" s="141"/>
      <c r="E82" s="141"/>
      <c r="F82" s="151">
        <f>SUM(F78:F81)</f>
        <v>6660</v>
      </c>
      <c r="G82" s="41"/>
      <c r="H82" s="160">
        <f>H80+H81</f>
        <v>9026.76</v>
      </c>
      <c r="I82" s="160">
        <f t="shared" ref="I82:U82" si="25">I80+I81</f>
        <v>18414.590400000001</v>
      </c>
      <c r="J82" s="160">
        <f t="shared" si="25"/>
        <v>18414.590400000001</v>
      </c>
      <c r="K82" s="160">
        <f t="shared" si="25"/>
        <v>27621.885600000001</v>
      </c>
      <c r="L82" s="160">
        <f t="shared" si="25"/>
        <v>18414.590400000001</v>
      </c>
      <c r="M82" s="160">
        <f t="shared" si="25"/>
        <v>18414.590400000001</v>
      </c>
      <c r="N82" s="160">
        <f t="shared" si="25"/>
        <v>18414.590400000001</v>
      </c>
      <c r="O82" s="160">
        <f t="shared" si="25"/>
        <v>18414.590400000001</v>
      </c>
      <c r="P82" s="160">
        <f t="shared" si="25"/>
        <v>27621.885600000001</v>
      </c>
      <c r="Q82" s="160">
        <f t="shared" si="25"/>
        <v>18414.590400000001</v>
      </c>
      <c r="R82" s="160">
        <f t="shared" si="25"/>
        <v>18414.590400000001</v>
      </c>
      <c r="S82" s="160">
        <f t="shared" si="25"/>
        <v>18414.590400000001</v>
      </c>
      <c r="T82" s="160">
        <f t="shared" si="25"/>
        <v>18414.590400000001</v>
      </c>
      <c r="U82" s="160">
        <f t="shared" si="25"/>
        <v>239389.67519999994</v>
      </c>
      <c r="V82" s="58" t="s">
        <v>354</v>
      </c>
      <c r="W82" s="161">
        <f>U82/$U$118</f>
        <v>8.6364253559560913E-2</v>
      </c>
      <c r="X82" s="41">
        <f>($X$3/12)*W82</f>
        <v>2378.4355579246576</v>
      </c>
      <c r="Y82" s="41">
        <f>($Y$3)*W82</f>
        <v>0</v>
      </c>
      <c r="Z82" s="41">
        <f>$Z$3*W82/12</f>
        <v>167.89210891978641</v>
      </c>
      <c r="AA82" s="41">
        <f>$AA$3*W82/12</f>
        <v>306.66219153928893</v>
      </c>
      <c r="AB82" s="58"/>
      <c r="AC82" s="58"/>
      <c r="AD82" s="58"/>
      <c r="AE82" s="58"/>
      <c r="AF82" s="58"/>
      <c r="AG82" s="58"/>
      <c r="AH82" s="58"/>
      <c r="AI82" s="42"/>
    </row>
    <row r="83" spans="1:35" x14ac:dyDescent="0.3">
      <c r="A83" s="58"/>
      <c r="B83" s="58"/>
      <c r="C83" s="141"/>
      <c r="D83" s="141"/>
      <c r="E83" s="141"/>
      <c r="F83" s="151">
        <v>0</v>
      </c>
      <c r="G83" s="41"/>
      <c r="H83" s="41"/>
      <c r="I83" s="41">
        <f>I82/H82</f>
        <v>2.04</v>
      </c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58" t="s">
        <v>354</v>
      </c>
      <c r="W83" s="58"/>
      <c r="X83" s="41"/>
      <c r="Y83" s="41"/>
      <c r="Z83" s="41"/>
      <c r="AA83" s="41"/>
      <c r="AB83" s="58"/>
      <c r="AC83" s="58"/>
      <c r="AD83" s="58"/>
      <c r="AE83" s="58"/>
      <c r="AF83" s="58"/>
      <c r="AG83" s="58"/>
      <c r="AH83" s="58"/>
      <c r="AI83" s="42"/>
    </row>
    <row r="84" spans="1:35" x14ac:dyDescent="0.3">
      <c r="A84" s="156" t="s">
        <v>161</v>
      </c>
      <c r="B84" s="58"/>
      <c r="C84" s="141"/>
      <c r="D84" s="141"/>
      <c r="E84" s="1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58" t="s">
        <v>354</v>
      </c>
      <c r="W84" s="58"/>
      <c r="X84" s="41"/>
      <c r="Y84" s="41"/>
      <c r="Z84" s="41"/>
      <c r="AA84" s="41"/>
      <c r="AB84" s="58"/>
      <c r="AC84" s="58"/>
      <c r="AD84" s="58"/>
      <c r="AE84" s="58"/>
      <c r="AF84" s="58"/>
      <c r="AG84" s="58"/>
      <c r="AH84" s="58"/>
      <c r="AI84" s="42"/>
    </row>
    <row r="85" spans="1:35" x14ac:dyDescent="0.3">
      <c r="A85" s="58"/>
      <c r="B85" s="58"/>
      <c r="C85" s="141"/>
      <c r="D85" s="141"/>
      <c r="E85" s="1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58" t="s">
        <v>354</v>
      </c>
      <c r="W85" s="58"/>
      <c r="X85" s="41"/>
      <c r="Y85" s="41"/>
      <c r="Z85" s="41"/>
      <c r="AA85" s="41"/>
      <c r="AB85" s="58"/>
      <c r="AC85" s="58"/>
      <c r="AD85" s="58"/>
      <c r="AE85" s="58"/>
      <c r="AF85" s="58"/>
      <c r="AG85" s="58"/>
      <c r="AH85" s="58"/>
      <c r="AI85" s="42"/>
    </row>
    <row r="86" spans="1:35" x14ac:dyDescent="0.3">
      <c r="A86" s="58"/>
      <c r="B86" s="58"/>
      <c r="C86" s="141"/>
      <c r="D86" s="141" t="s">
        <v>355</v>
      </c>
      <c r="E86" s="141"/>
      <c r="F86" s="41">
        <f>F93</f>
        <v>0</v>
      </c>
      <c r="G86" s="41">
        <v>1169</v>
      </c>
      <c r="H86" s="41">
        <f t="shared" ref="H86" si="26">SUM(F86:G86)</f>
        <v>1169</v>
      </c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58"/>
      <c r="W86" s="58"/>
      <c r="X86" s="41"/>
      <c r="Y86" s="41"/>
      <c r="Z86" s="41"/>
      <c r="AA86" s="41"/>
      <c r="AB86" s="58"/>
      <c r="AC86" s="58"/>
      <c r="AD86" s="58"/>
      <c r="AE86" s="58"/>
      <c r="AF86" s="58"/>
      <c r="AG86" s="58"/>
      <c r="AH86" s="58"/>
      <c r="AI86" s="42"/>
    </row>
    <row r="87" spans="1:35" x14ac:dyDescent="0.3">
      <c r="A87" s="58"/>
      <c r="B87" s="58"/>
      <c r="C87" s="141"/>
      <c r="D87" s="157" t="s">
        <v>349</v>
      </c>
      <c r="E87" s="157"/>
      <c r="F87" s="158">
        <v>0</v>
      </c>
      <c r="G87" s="158">
        <v>1197.76</v>
      </c>
      <c r="H87" s="41">
        <v>1197.76</v>
      </c>
      <c r="I87" s="41">
        <f t="shared" ref="I87:T87" si="27">$H$80*I10*I9</f>
        <v>0</v>
      </c>
      <c r="J87" s="41">
        <f t="shared" si="27"/>
        <v>0</v>
      </c>
      <c r="K87" s="41">
        <f t="shared" si="27"/>
        <v>0</v>
      </c>
      <c r="L87" s="41">
        <f t="shared" si="27"/>
        <v>0</v>
      </c>
      <c r="M87" s="41">
        <f t="shared" si="27"/>
        <v>0</v>
      </c>
      <c r="N87" s="41">
        <f t="shared" si="27"/>
        <v>0</v>
      </c>
      <c r="O87" s="41">
        <f t="shared" si="27"/>
        <v>0</v>
      </c>
      <c r="P87" s="41">
        <f t="shared" si="27"/>
        <v>0</v>
      </c>
      <c r="Q87" s="41">
        <f t="shared" si="27"/>
        <v>0</v>
      </c>
      <c r="R87" s="41">
        <f t="shared" si="27"/>
        <v>0</v>
      </c>
      <c r="S87" s="41">
        <f t="shared" si="27"/>
        <v>0</v>
      </c>
      <c r="T87" s="41">
        <f t="shared" si="27"/>
        <v>0</v>
      </c>
      <c r="U87" s="41"/>
      <c r="V87" s="58" t="s">
        <v>354</v>
      </c>
      <c r="W87" s="58"/>
      <c r="X87" s="41"/>
      <c r="Y87" s="41"/>
      <c r="Z87" s="41"/>
      <c r="AA87" s="41"/>
      <c r="AB87" s="58"/>
      <c r="AC87" s="58"/>
      <c r="AD87" s="58"/>
      <c r="AE87" s="58"/>
      <c r="AF87" s="58"/>
      <c r="AG87" s="58"/>
      <c r="AH87" s="58"/>
      <c r="AI87" s="42"/>
    </row>
    <row r="88" spans="1:35" x14ac:dyDescent="0.3">
      <c r="A88" s="58"/>
      <c r="B88" s="58"/>
      <c r="C88" s="141"/>
      <c r="D88" s="141"/>
      <c r="E88" s="141"/>
      <c r="F88" s="41"/>
      <c r="G88" s="41"/>
      <c r="H88" s="41">
        <f>SUM(H85:H87)</f>
        <v>2366.7600000000002</v>
      </c>
      <c r="I88" s="41">
        <f t="shared" ref="I88:T88" si="28">$H$88*I2*I3</f>
        <v>4828.1904000000004</v>
      </c>
      <c r="J88" s="41">
        <f t="shared" si="28"/>
        <v>4828.1904000000004</v>
      </c>
      <c r="K88" s="41">
        <f t="shared" si="28"/>
        <v>7242.2856000000011</v>
      </c>
      <c r="L88" s="41">
        <f t="shared" si="28"/>
        <v>4828.1904000000004</v>
      </c>
      <c r="M88" s="41">
        <f t="shared" si="28"/>
        <v>4828.1904000000004</v>
      </c>
      <c r="N88" s="41">
        <f t="shared" si="28"/>
        <v>4828.1904000000004</v>
      </c>
      <c r="O88" s="41">
        <f t="shared" si="28"/>
        <v>4828.1904000000004</v>
      </c>
      <c r="P88" s="41">
        <f t="shared" si="28"/>
        <v>7242.2856000000011</v>
      </c>
      <c r="Q88" s="41">
        <f t="shared" si="28"/>
        <v>4828.1904000000004</v>
      </c>
      <c r="R88" s="41">
        <f t="shared" si="28"/>
        <v>4828.1904000000004</v>
      </c>
      <c r="S88" s="41">
        <f t="shared" si="28"/>
        <v>4828.1904000000004</v>
      </c>
      <c r="T88" s="41">
        <f t="shared" si="28"/>
        <v>4828.1904000000004</v>
      </c>
      <c r="U88" s="41">
        <f>SUM(I88:T88)</f>
        <v>62766.475200000001</v>
      </c>
      <c r="V88" s="58" t="s">
        <v>354</v>
      </c>
      <c r="W88" s="58"/>
      <c r="X88" s="41"/>
      <c r="Y88" s="41"/>
      <c r="Z88" s="41"/>
      <c r="AA88" s="41"/>
      <c r="AB88" s="58"/>
      <c r="AC88" s="58"/>
      <c r="AD88" s="58"/>
      <c r="AE88" s="58"/>
      <c r="AF88" s="58"/>
      <c r="AG88" s="58"/>
      <c r="AH88" s="58"/>
      <c r="AI88" s="42"/>
    </row>
    <row r="89" spans="1:35" x14ac:dyDescent="0.3">
      <c r="A89" s="58"/>
      <c r="B89" s="58"/>
      <c r="C89" s="141"/>
      <c r="D89" s="141" t="s">
        <v>169</v>
      </c>
      <c r="E89" s="141"/>
      <c r="F89" s="41">
        <v>10345</v>
      </c>
      <c r="G89" s="41"/>
      <c r="H89" s="41">
        <f t="shared" ref="H89" si="29">SUM(F89:G89)</f>
        <v>10345</v>
      </c>
      <c r="I89" s="41">
        <f t="shared" ref="I89:T89" si="30">$H$89*I2*I4</f>
        <v>21103.8</v>
      </c>
      <c r="J89" s="41">
        <f t="shared" si="30"/>
        <v>21103.8</v>
      </c>
      <c r="K89" s="41">
        <f t="shared" si="30"/>
        <v>31655.7</v>
      </c>
      <c r="L89" s="41">
        <f t="shared" si="30"/>
        <v>21103.8</v>
      </c>
      <c r="M89" s="41">
        <f t="shared" si="30"/>
        <v>21103.8</v>
      </c>
      <c r="N89" s="41">
        <f t="shared" si="30"/>
        <v>21103.8</v>
      </c>
      <c r="O89" s="41">
        <f t="shared" si="30"/>
        <v>21103.8</v>
      </c>
      <c r="P89" s="41">
        <f t="shared" si="30"/>
        <v>31655.7</v>
      </c>
      <c r="Q89" s="41">
        <f t="shared" si="30"/>
        <v>21103.8</v>
      </c>
      <c r="R89" s="41">
        <f t="shared" si="30"/>
        <v>21103.8</v>
      </c>
      <c r="S89" s="41">
        <f t="shared" si="30"/>
        <v>21103.8</v>
      </c>
      <c r="T89" s="41">
        <f t="shared" si="30"/>
        <v>21103.8</v>
      </c>
      <c r="U89" s="41">
        <f>SUM(I89:T89)</f>
        <v>274349.39999999997</v>
      </c>
      <c r="V89" s="58" t="s">
        <v>354</v>
      </c>
      <c r="W89" s="58"/>
      <c r="X89" s="41"/>
      <c r="Y89" s="41"/>
      <c r="Z89" s="41"/>
      <c r="AA89" s="41"/>
      <c r="AB89" s="58"/>
      <c r="AC89" s="58"/>
      <c r="AD89" s="58"/>
      <c r="AE89" s="58"/>
      <c r="AF89" s="58"/>
      <c r="AG89" s="58"/>
      <c r="AH89" s="58"/>
      <c r="AI89" s="42"/>
    </row>
    <row r="90" spans="1:35" x14ac:dyDescent="0.3">
      <c r="A90" s="58"/>
      <c r="B90" s="58"/>
      <c r="C90" s="141"/>
      <c r="D90" s="141"/>
      <c r="E90" s="141"/>
      <c r="F90" s="151">
        <f>SUM(F85:F89)</f>
        <v>10345</v>
      </c>
      <c r="G90" s="41"/>
      <c r="H90" s="160">
        <f>H88+H89</f>
        <v>12711.76</v>
      </c>
      <c r="I90" s="160">
        <f t="shared" ref="I90:U90" si="31">I88+I89</f>
        <v>25931.990399999999</v>
      </c>
      <c r="J90" s="160">
        <f t="shared" si="31"/>
        <v>25931.990399999999</v>
      </c>
      <c r="K90" s="160">
        <f t="shared" si="31"/>
        <v>38897.9856</v>
      </c>
      <c r="L90" s="160">
        <f t="shared" si="31"/>
        <v>25931.990399999999</v>
      </c>
      <c r="M90" s="160">
        <f t="shared" si="31"/>
        <v>25931.990399999999</v>
      </c>
      <c r="N90" s="160">
        <f t="shared" si="31"/>
        <v>25931.990399999999</v>
      </c>
      <c r="O90" s="160">
        <f t="shared" si="31"/>
        <v>25931.990399999999</v>
      </c>
      <c r="P90" s="160">
        <f t="shared" si="31"/>
        <v>38897.9856</v>
      </c>
      <c r="Q90" s="160">
        <f t="shared" si="31"/>
        <v>25931.990399999999</v>
      </c>
      <c r="R90" s="160">
        <f t="shared" si="31"/>
        <v>25931.990399999999</v>
      </c>
      <c r="S90" s="160">
        <f t="shared" si="31"/>
        <v>25931.990399999999</v>
      </c>
      <c r="T90" s="160">
        <f t="shared" si="31"/>
        <v>25931.990399999999</v>
      </c>
      <c r="U90" s="160">
        <f t="shared" si="31"/>
        <v>337115.87519999995</v>
      </c>
      <c r="V90" s="58" t="s">
        <v>354</v>
      </c>
      <c r="W90" s="161">
        <f>U90/$U$118</f>
        <v>0.12162078794919597</v>
      </c>
      <c r="X90" s="41">
        <f>($X$3/12)*W90</f>
        <v>3349.3858247925446</v>
      </c>
      <c r="Y90" s="41">
        <f>($Y$3)*W90</f>
        <v>0</v>
      </c>
      <c r="Z90" s="41">
        <f>$Z$3*W90/12</f>
        <v>236.43081177323697</v>
      </c>
      <c r="AA90" s="41">
        <f>$AA$3*W90/12</f>
        <v>431.8510938500051</v>
      </c>
      <c r="AB90" s="58"/>
      <c r="AC90" s="58"/>
      <c r="AD90" s="58"/>
      <c r="AE90" s="58"/>
      <c r="AF90" s="58"/>
      <c r="AG90" s="58"/>
      <c r="AH90" s="58"/>
      <c r="AI90" s="42"/>
    </row>
    <row r="91" spans="1:35" x14ac:dyDescent="0.3">
      <c r="A91" s="58"/>
      <c r="B91" s="58"/>
      <c r="C91" s="141"/>
      <c r="D91" s="141"/>
      <c r="E91" s="141"/>
      <c r="F91" s="151">
        <v>0</v>
      </c>
      <c r="G91" s="41"/>
      <c r="H91" s="41"/>
      <c r="I91" s="41">
        <f>I90/H90</f>
        <v>2.04</v>
      </c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58" t="s">
        <v>354</v>
      </c>
      <c r="W91" s="58"/>
      <c r="X91" s="41"/>
      <c r="Y91" s="41"/>
      <c r="Z91" s="41"/>
      <c r="AA91" s="41"/>
      <c r="AB91" s="58"/>
      <c r="AC91" s="58"/>
      <c r="AD91" s="58"/>
      <c r="AE91" s="58"/>
      <c r="AF91" s="58"/>
      <c r="AG91" s="58"/>
      <c r="AH91" s="58"/>
      <c r="AI91" s="42"/>
    </row>
    <row r="92" spans="1:35" x14ac:dyDescent="0.3">
      <c r="A92" s="156" t="s">
        <v>162</v>
      </c>
      <c r="B92" s="58"/>
      <c r="C92" s="141"/>
      <c r="D92" s="141"/>
      <c r="E92" s="141"/>
      <c r="F92" s="41">
        <v>0</v>
      </c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58" t="s">
        <v>354</v>
      </c>
      <c r="W92" s="58"/>
      <c r="X92" s="41"/>
      <c r="Y92" s="41"/>
      <c r="Z92" s="41"/>
      <c r="AA92" s="41"/>
      <c r="AB92" s="58"/>
      <c r="AC92" s="58"/>
      <c r="AD92" s="58"/>
      <c r="AE92" s="58"/>
      <c r="AF92" s="58"/>
      <c r="AG92" s="58"/>
      <c r="AH92" s="58"/>
      <c r="AI92" s="42"/>
    </row>
    <row r="93" spans="1:35" x14ac:dyDescent="0.3">
      <c r="A93" s="58"/>
      <c r="B93" s="58"/>
      <c r="C93" s="141"/>
      <c r="D93" s="141" t="s">
        <v>171</v>
      </c>
      <c r="E93" s="141"/>
      <c r="F93" s="41"/>
      <c r="G93" s="41"/>
      <c r="H93" s="41" t="s">
        <v>99</v>
      </c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58" t="s">
        <v>354</v>
      </c>
      <c r="W93" s="58"/>
      <c r="X93" s="41"/>
      <c r="Y93" s="41"/>
      <c r="Z93" s="41"/>
      <c r="AA93" s="41"/>
      <c r="AB93" s="58"/>
      <c r="AC93" s="58"/>
      <c r="AD93" s="58"/>
      <c r="AE93" s="58"/>
      <c r="AF93" s="58"/>
      <c r="AG93" s="58"/>
      <c r="AH93" s="58"/>
      <c r="AI93" s="42"/>
    </row>
    <row r="94" spans="1:35" x14ac:dyDescent="0.3">
      <c r="A94" s="58"/>
      <c r="B94" s="58"/>
      <c r="C94" s="141"/>
      <c r="D94" s="141" t="s">
        <v>356</v>
      </c>
      <c r="E94" s="1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58"/>
      <c r="W94" s="58"/>
      <c r="X94" s="41"/>
      <c r="Y94" s="41"/>
      <c r="Z94" s="41"/>
      <c r="AA94" s="41"/>
      <c r="AB94" s="58"/>
      <c r="AC94" s="58"/>
      <c r="AD94" s="58"/>
      <c r="AE94" s="58"/>
      <c r="AF94" s="58"/>
      <c r="AG94" s="58"/>
      <c r="AH94" s="58"/>
      <c r="AI94" s="42"/>
    </row>
    <row r="95" spans="1:35" x14ac:dyDescent="0.3">
      <c r="A95" s="58"/>
      <c r="B95" s="58"/>
      <c r="C95" s="141"/>
      <c r="D95" s="58" t="s">
        <v>357</v>
      </c>
      <c r="E95" s="141"/>
      <c r="F95" s="41"/>
      <c r="G95" s="41"/>
      <c r="H95" s="41">
        <f>SUM(F93:F95)</f>
        <v>0</v>
      </c>
      <c r="I95" s="41">
        <f t="shared" ref="I95:T95" si="32">$H$80*I18*I17</f>
        <v>0</v>
      </c>
      <c r="J95" s="41">
        <f t="shared" si="32"/>
        <v>0</v>
      </c>
      <c r="K95" s="41">
        <f t="shared" si="32"/>
        <v>0</v>
      </c>
      <c r="L95" s="41">
        <f t="shared" si="32"/>
        <v>0</v>
      </c>
      <c r="M95" s="41">
        <f t="shared" si="32"/>
        <v>0</v>
      </c>
      <c r="N95" s="41">
        <f t="shared" si="32"/>
        <v>0</v>
      </c>
      <c r="O95" s="41">
        <f t="shared" si="32"/>
        <v>0</v>
      </c>
      <c r="P95" s="41">
        <f t="shared" si="32"/>
        <v>0</v>
      </c>
      <c r="Q95" s="41">
        <f t="shared" si="32"/>
        <v>0</v>
      </c>
      <c r="R95" s="41">
        <f t="shared" si="32"/>
        <v>0</v>
      </c>
      <c r="S95" s="41">
        <f t="shared" si="32"/>
        <v>0</v>
      </c>
      <c r="T95" s="41">
        <f t="shared" si="32"/>
        <v>0</v>
      </c>
      <c r="U95" s="41"/>
      <c r="V95" s="58" t="s">
        <v>354</v>
      </c>
      <c r="W95" s="58"/>
      <c r="X95" s="41"/>
      <c r="Y95" s="41"/>
      <c r="Z95" s="41"/>
      <c r="AA95" s="41"/>
      <c r="AB95" s="58"/>
      <c r="AC95" s="58"/>
      <c r="AD95" s="58"/>
      <c r="AE95" s="58"/>
      <c r="AF95" s="58"/>
      <c r="AG95" s="58"/>
      <c r="AH95" s="58"/>
      <c r="AI95" s="42"/>
    </row>
    <row r="96" spans="1:35" x14ac:dyDescent="0.3">
      <c r="A96" s="58"/>
      <c r="B96" s="58"/>
      <c r="C96" s="141"/>
      <c r="D96" s="141" t="s">
        <v>169</v>
      </c>
      <c r="E96" s="141"/>
      <c r="F96" s="41"/>
      <c r="G96" s="41"/>
      <c r="H96" s="41">
        <f>F96</f>
        <v>0</v>
      </c>
      <c r="I96" s="41">
        <f t="shared" ref="I96:T96" si="33">$H$96*I2*I4</f>
        <v>0</v>
      </c>
      <c r="J96" s="41">
        <f t="shared" si="33"/>
        <v>0</v>
      </c>
      <c r="K96" s="41">
        <f t="shared" si="33"/>
        <v>0</v>
      </c>
      <c r="L96" s="41">
        <f t="shared" si="33"/>
        <v>0</v>
      </c>
      <c r="M96" s="41">
        <f t="shared" si="33"/>
        <v>0</v>
      </c>
      <c r="N96" s="41">
        <f t="shared" si="33"/>
        <v>0</v>
      </c>
      <c r="O96" s="41">
        <f t="shared" si="33"/>
        <v>0</v>
      </c>
      <c r="P96" s="41">
        <f t="shared" si="33"/>
        <v>0</v>
      </c>
      <c r="Q96" s="41">
        <f t="shared" si="33"/>
        <v>0</v>
      </c>
      <c r="R96" s="41">
        <f t="shared" si="33"/>
        <v>0</v>
      </c>
      <c r="S96" s="41">
        <f t="shared" si="33"/>
        <v>0</v>
      </c>
      <c r="T96" s="41">
        <f t="shared" si="33"/>
        <v>0</v>
      </c>
      <c r="U96" s="41"/>
      <c r="V96" s="58" t="s">
        <v>354</v>
      </c>
      <c r="W96" s="58"/>
      <c r="X96" s="41"/>
      <c r="Y96" s="41"/>
      <c r="Z96" s="41"/>
      <c r="AA96" s="41"/>
      <c r="AB96" s="58"/>
      <c r="AC96" s="58"/>
      <c r="AD96" s="58"/>
      <c r="AE96" s="58"/>
      <c r="AF96" s="58"/>
      <c r="AG96" s="58"/>
      <c r="AH96" s="58"/>
      <c r="AI96" s="42"/>
    </row>
    <row r="97" spans="1:35" x14ac:dyDescent="0.3">
      <c r="A97" s="58"/>
      <c r="B97" s="58"/>
      <c r="C97" s="141"/>
      <c r="D97" s="141"/>
      <c r="E97" s="141"/>
      <c r="F97" s="151">
        <f>SUM(F93:F96)</f>
        <v>0</v>
      </c>
      <c r="G97" s="41"/>
      <c r="H97" s="41">
        <f>SUM(H93:H96)</f>
        <v>0</v>
      </c>
      <c r="I97" s="162">
        <f t="shared" ref="I97:T97" si="34">$H$97*I2*I4</f>
        <v>0</v>
      </c>
      <c r="J97" s="162">
        <f t="shared" si="34"/>
        <v>0</v>
      </c>
      <c r="K97" s="162">
        <f t="shared" si="34"/>
        <v>0</v>
      </c>
      <c r="L97" s="162">
        <f t="shared" si="34"/>
        <v>0</v>
      </c>
      <c r="M97" s="162">
        <f t="shared" si="34"/>
        <v>0</v>
      </c>
      <c r="N97" s="162">
        <f t="shared" si="34"/>
        <v>0</v>
      </c>
      <c r="O97" s="162">
        <f t="shared" si="34"/>
        <v>0</v>
      </c>
      <c r="P97" s="162">
        <f t="shared" si="34"/>
        <v>0</v>
      </c>
      <c r="Q97" s="162">
        <f t="shared" si="34"/>
        <v>0</v>
      </c>
      <c r="R97" s="162">
        <f t="shared" si="34"/>
        <v>0</v>
      </c>
      <c r="S97" s="162">
        <f t="shared" si="34"/>
        <v>0</v>
      </c>
      <c r="T97" s="162">
        <f t="shared" si="34"/>
        <v>0</v>
      </c>
      <c r="U97" s="41">
        <f>SUM(I97:T97)</f>
        <v>0</v>
      </c>
      <c r="V97" s="58" t="s">
        <v>354</v>
      </c>
      <c r="W97" s="161">
        <f>U97/$U$118</f>
        <v>0</v>
      </c>
      <c r="X97" s="41">
        <f>($X$3/12)*W97</f>
        <v>0</v>
      </c>
      <c r="Y97" s="41">
        <f>($Y$3)*W97</f>
        <v>0</v>
      </c>
      <c r="Z97" s="41">
        <f>$Z$3*W97/12</f>
        <v>0</v>
      </c>
      <c r="AA97" s="41">
        <f>$AA$3*W97/12</f>
        <v>0</v>
      </c>
      <c r="AB97" s="58"/>
      <c r="AC97" s="58"/>
      <c r="AD97" s="58"/>
      <c r="AE97" s="58"/>
      <c r="AF97" s="58"/>
      <c r="AG97" s="58"/>
      <c r="AH97" s="58"/>
      <c r="AI97" s="42"/>
    </row>
    <row r="98" spans="1:35" x14ac:dyDescent="0.3">
      <c r="A98" s="58"/>
      <c r="B98" s="58"/>
      <c r="C98" s="141"/>
      <c r="D98" s="141"/>
      <c r="E98" s="1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58" t="s">
        <v>354</v>
      </c>
      <c r="W98" s="58"/>
      <c r="X98" s="41"/>
      <c r="Y98" s="41"/>
      <c r="Z98" s="41"/>
      <c r="AA98" s="41"/>
      <c r="AB98" s="58"/>
      <c r="AC98" s="58"/>
      <c r="AD98" s="58"/>
      <c r="AE98" s="58"/>
      <c r="AF98" s="58"/>
      <c r="AG98" s="58"/>
      <c r="AH98" s="58"/>
      <c r="AI98" s="42"/>
    </row>
    <row r="99" spans="1:35" x14ac:dyDescent="0.3">
      <c r="A99" s="156" t="s">
        <v>144</v>
      </c>
      <c r="B99" s="58"/>
      <c r="C99" s="141"/>
      <c r="D99" s="141"/>
      <c r="E99" s="1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58" t="s">
        <v>354</v>
      </c>
      <c r="W99" s="58"/>
      <c r="X99" s="41"/>
      <c r="Y99" s="41"/>
      <c r="Z99" s="41"/>
      <c r="AA99" s="41"/>
      <c r="AB99" s="58"/>
      <c r="AC99" s="58"/>
      <c r="AD99" s="58"/>
      <c r="AE99" s="58"/>
      <c r="AF99" s="58"/>
      <c r="AG99" s="58"/>
      <c r="AH99" s="58"/>
      <c r="AI99" s="42"/>
    </row>
    <row r="100" spans="1:35" x14ac:dyDescent="0.3">
      <c r="A100" s="58"/>
      <c r="B100" s="58"/>
      <c r="C100" s="141"/>
      <c r="D100" s="141" t="s">
        <v>355</v>
      </c>
      <c r="E100" s="141"/>
      <c r="F100" s="41">
        <f>F107</f>
        <v>0</v>
      </c>
      <c r="G100" s="41">
        <v>1169</v>
      </c>
      <c r="H100" s="41">
        <f t="shared" ref="H100:H103" si="35">SUM(F100:G100)</f>
        <v>1169</v>
      </c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58" t="s">
        <v>354</v>
      </c>
      <c r="W100" s="58"/>
      <c r="X100" s="41"/>
      <c r="Y100" s="41"/>
      <c r="Z100" s="41"/>
      <c r="AA100" s="41"/>
      <c r="AB100" s="58"/>
      <c r="AC100" s="58"/>
      <c r="AD100" s="58"/>
      <c r="AE100" s="58"/>
      <c r="AF100" s="58"/>
      <c r="AG100" s="58"/>
      <c r="AH100" s="58"/>
      <c r="AI100" s="42"/>
    </row>
    <row r="101" spans="1:35" x14ac:dyDescent="0.3">
      <c r="A101" s="58"/>
      <c r="B101" s="58"/>
      <c r="C101" s="141"/>
      <c r="D101" s="157" t="s">
        <v>349</v>
      </c>
      <c r="E101" s="157"/>
      <c r="F101" s="158">
        <v>0</v>
      </c>
      <c r="G101" s="158">
        <v>1197.76</v>
      </c>
      <c r="H101" s="41">
        <f t="shared" si="35"/>
        <v>1197.76</v>
      </c>
      <c r="I101" s="41">
        <f t="shared" ref="I101:T101" si="36">$H$80*I26*I24</f>
        <v>0</v>
      </c>
      <c r="J101" s="41">
        <f t="shared" si="36"/>
        <v>0</v>
      </c>
      <c r="K101" s="41">
        <f t="shared" si="36"/>
        <v>0</v>
      </c>
      <c r="L101" s="41">
        <f t="shared" si="36"/>
        <v>0</v>
      </c>
      <c r="M101" s="41">
        <f t="shared" si="36"/>
        <v>0</v>
      </c>
      <c r="N101" s="41">
        <f t="shared" si="36"/>
        <v>0</v>
      </c>
      <c r="O101" s="41">
        <f t="shared" si="36"/>
        <v>0</v>
      </c>
      <c r="P101" s="41">
        <f t="shared" si="36"/>
        <v>0</v>
      </c>
      <c r="Q101" s="41">
        <f t="shared" si="36"/>
        <v>0</v>
      </c>
      <c r="R101" s="41">
        <f t="shared" si="36"/>
        <v>0</v>
      </c>
      <c r="S101" s="41">
        <f t="shared" si="36"/>
        <v>0</v>
      </c>
      <c r="T101" s="41">
        <f t="shared" si="36"/>
        <v>0</v>
      </c>
      <c r="U101" s="41">
        <f>SUM(I101:T101)</f>
        <v>0</v>
      </c>
      <c r="V101" s="58" t="s">
        <v>354</v>
      </c>
      <c r="W101" s="58"/>
      <c r="X101" s="41"/>
      <c r="Y101" s="41"/>
      <c r="Z101" s="41"/>
      <c r="AA101" s="41"/>
      <c r="AB101" s="58"/>
      <c r="AC101" s="58"/>
      <c r="AD101" s="58"/>
      <c r="AE101" s="58"/>
      <c r="AF101" s="58"/>
      <c r="AG101" s="58"/>
      <c r="AH101" s="58"/>
      <c r="AI101" s="42"/>
    </row>
    <row r="102" spans="1:35" x14ac:dyDescent="0.3">
      <c r="A102" s="58"/>
      <c r="B102" s="58"/>
      <c r="C102" s="141"/>
      <c r="D102" s="141"/>
      <c r="E102" s="141"/>
      <c r="F102" s="41"/>
      <c r="G102" s="41"/>
      <c r="H102" s="41">
        <f>SUM(H100:H101)</f>
        <v>2366.7600000000002</v>
      </c>
      <c r="I102" s="41">
        <f t="shared" ref="I102:T102" si="37">$H$102*I2*I3</f>
        <v>4828.1904000000004</v>
      </c>
      <c r="J102" s="41">
        <f t="shared" si="37"/>
        <v>4828.1904000000004</v>
      </c>
      <c r="K102" s="41">
        <f t="shared" si="37"/>
        <v>7242.2856000000011</v>
      </c>
      <c r="L102" s="41">
        <f t="shared" si="37"/>
        <v>4828.1904000000004</v>
      </c>
      <c r="M102" s="41">
        <f t="shared" si="37"/>
        <v>4828.1904000000004</v>
      </c>
      <c r="N102" s="41">
        <f t="shared" si="37"/>
        <v>4828.1904000000004</v>
      </c>
      <c r="O102" s="41">
        <f t="shared" si="37"/>
        <v>4828.1904000000004</v>
      </c>
      <c r="P102" s="41">
        <f t="shared" si="37"/>
        <v>7242.2856000000011</v>
      </c>
      <c r="Q102" s="41">
        <f t="shared" si="37"/>
        <v>4828.1904000000004</v>
      </c>
      <c r="R102" s="41">
        <f t="shared" si="37"/>
        <v>4828.1904000000004</v>
      </c>
      <c r="S102" s="41">
        <f t="shared" si="37"/>
        <v>4828.1904000000004</v>
      </c>
      <c r="T102" s="41">
        <f t="shared" si="37"/>
        <v>4828.1904000000004</v>
      </c>
      <c r="U102" s="41">
        <f>SUM(I102:T102)</f>
        <v>62766.475200000001</v>
      </c>
      <c r="V102" s="58" t="s">
        <v>354</v>
      </c>
      <c r="W102" s="58"/>
      <c r="X102" s="41"/>
      <c r="Y102" s="41"/>
      <c r="Z102" s="41"/>
      <c r="AA102" s="41"/>
      <c r="AB102" s="58"/>
      <c r="AC102" s="58"/>
      <c r="AD102" s="58"/>
      <c r="AE102" s="58"/>
      <c r="AF102" s="58"/>
      <c r="AG102" s="58"/>
      <c r="AH102" s="58"/>
      <c r="AI102" s="42"/>
    </row>
    <row r="103" spans="1:35" x14ac:dyDescent="0.3">
      <c r="A103" s="58"/>
      <c r="B103" s="58"/>
      <c r="C103" s="141"/>
      <c r="D103" s="141" t="s">
        <v>169</v>
      </c>
      <c r="E103" s="141"/>
      <c r="F103" s="41">
        <v>6645</v>
      </c>
      <c r="G103" s="41"/>
      <c r="H103" s="41">
        <f t="shared" si="35"/>
        <v>6645</v>
      </c>
      <c r="I103" s="41">
        <f t="shared" ref="I103:T103" si="38">$H$103*I2*I4</f>
        <v>13555.800000000001</v>
      </c>
      <c r="J103" s="41">
        <f t="shared" si="38"/>
        <v>13555.800000000001</v>
      </c>
      <c r="K103" s="41">
        <f t="shared" si="38"/>
        <v>20333.7</v>
      </c>
      <c r="L103" s="41">
        <f t="shared" si="38"/>
        <v>13555.800000000001</v>
      </c>
      <c r="M103" s="41">
        <f t="shared" si="38"/>
        <v>13555.800000000001</v>
      </c>
      <c r="N103" s="41">
        <f t="shared" si="38"/>
        <v>13555.800000000001</v>
      </c>
      <c r="O103" s="41">
        <f t="shared" si="38"/>
        <v>13555.800000000001</v>
      </c>
      <c r="P103" s="41">
        <f t="shared" si="38"/>
        <v>20333.7</v>
      </c>
      <c r="Q103" s="41">
        <f t="shared" si="38"/>
        <v>13555.800000000001</v>
      </c>
      <c r="R103" s="41">
        <f t="shared" si="38"/>
        <v>13555.800000000001</v>
      </c>
      <c r="S103" s="41">
        <f t="shared" si="38"/>
        <v>13555.800000000001</v>
      </c>
      <c r="T103" s="41">
        <f t="shared" si="38"/>
        <v>13555.800000000001</v>
      </c>
      <c r="U103" s="41">
        <f>SUM(I103:T103)</f>
        <v>176225.39999999997</v>
      </c>
      <c r="V103" s="58" t="s">
        <v>354</v>
      </c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42"/>
    </row>
    <row r="104" spans="1:35" x14ac:dyDescent="0.3">
      <c r="A104" s="58"/>
      <c r="B104" s="58"/>
      <c r="C104" s="141"/>
      <c r="D104" s="141"/>
      <c r="E104" s="141"/>
      <c r="F104" s="151">
        <f>SUM(F100:F103)</f>
        <v>6645</v>
      </c>
      <c r="G104" s="41"/>
      <c r="H104" s="160">
        <f>H102+H103</f>
        <v>9011.76</v>
      </c>
      <c r="I104" s="160">
        <f t="shared" ref="I104:T104" si="39">I102+I103</f>
        <v>18383.990400000002</v>
      </c>
      <c r="J104" s="160">
        <f t="shared" si="39"/>
        <v>18383.990400000002</v>
      </c>
      <c r="K104" s="160">
        <f t="shared" si="39"/>
        <v>27575.9856</v>
      </c>
      <c r="L104" s="160">
        <f t="shared" si="39"/>
        <v>18383.990400000002</v>
      </c>
      <c r="M104" s="160">
        <f t="shared" si="39"/>
        <v>18383.990400000002</v>
      </c>
      <c r="N104" s="160">
        <f t="shared" si="39"/>
        <v>18383.990400000002</v>
      </c>
      <c r="O104" s="160">
        <f t="shared" si="39"/>
        <v>18383.990400000002</v>
      </c>
      <c r="P104" s="160">
        <f t="shared" si="39"/>
        <v>27575.9856</v>
      </c>
      <c r="Q104" s="160">
        <f t="shared" si="39"/>
        <v>18383.990400000002</v>
      </c>
      <c r="R104" s="160">
        <f t="shared" si="39"/>
        <v>18383.990400000002</v>
      </c>
      <c r="S104" s="160">
        <f t="shared" si="39"/>
        <v>18383.990400000002</v>
      </c>
      <c r="T104" s="160">
        <f t="shared" si="39"/>
        <v>18383.990400000002</v>
      </c>
      <c r="U104" s="41">
        <f>SUM(I104:T104)</f>
        <v>238991.87520000007</v>
      </c>
      <c r="V104" s="58" t="s">
        <v>354</v>
      </c>
      <c r="W104" s="161">
        <f>U104/$U$118</f>
        <v>8.6220739851054981E-2</v>
      </c>
      <c r="X104" s="41">
        <f>($X$3/12)*W104</f>
        <v>2374.4832501897827</v>
      </c>
      <c r="Y104" s="41">
        <f>($Y$3)*W104</f>
        <v>0</v>
      </c>
      <c r="Z104" s="41">
        <f>$Z$3*W104/12</f>
        <v>167.61311827045088</v>
      </c>
      <c r="AA104" s="41">
        <f>$AA$3*W104/12</f>
        <v>306.15260306312604</v>
      </c>
      <c r="AB104" s="58"/>
      <c r="AC104" s="58"/>
      <c r="AD104" s="58"/>
      <c r="AE104" s="58"/>
      <c r="AF104" s="58"/>
      <c r="AG104" s="58"/>
      <c r="AH104" s="58"/>
      <c r="AI104" s="42"/>
    </row>
    <row r="105" spans="1:35" x14ac:dyDescent="0.3">
      <c r="A105" s="58"/>
      <c r="B105" s="58"/>
      <c r="C105" s="141"/>
      <c r="D105" s="141"/>
      <c r="E105" s="141"/>
      <c r="F105" s="151">
        <f>F104+1198-H104</f>
        <v>-1168.7600000000002</v>
      </c>
      <c r="G105" s="41"/>
      <c r="H105" s="41"/>
      <c r="I105" s="41">
        <f>I104/H104</f>
        <v>2.04</v>
      </c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58" t="s">
        <v>354</v>
      </c>
      <c r="W105" s="58"/>
      <c r="X105" s="41"/>
      <c r="Y105" s="41"/>
      <c r="Z105" s="41"/>
      <c r="AA105" s="41"/>
      <c r="AB105" s="58"/>
      <c r="AC105" s="58"/>
      <c r="AD105" s="58"/>
      <c r="AE105" s="58"/>
      <c r="AF105" s="58"/>
      <c r="AG105" s="58"/>
      <c r="AH105" s="58"/>
      <c r="AI105" s="42"/>
    </row>
    <row r="106" spans="1:35" x14ac:dyDescent="0.3">
      <c r="A106" s="156" t="s">
        <v>163</v>
      </c>
      <c r="B106" s="58"/>
      <c r="C106" s="141"/>
      <c r="D106" s="141"/>
      <c r="E106" s="1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58" t="s">
        <v>354</v>
      </c>
      <c r="W106" s="58"/>
      <c r="X106" s="41"/>
      <c r="Y106" s="41"/>
      <c r="Z106" s="41"/>
      <c r="AA106" s="41"/>
      <c r="AB106" s="58"/>
      <c r="AC106" s="58"/>
      <c r="AD106" s="58"/>
      <c r="AE106" s="58"/>
      <c r="AF106" s="58"/>
      <c r="AG106" s="58"/>
      <c r="AH106" s="58"/>
      <c r="AI106" s="42"/>
    </row>
    <row r="107" spans="1:35" x14ac:dyDescent="0.3">
      <c r="A107" s="58"/>
      <c r="B107" s="58"/>
      <c r="C107" s="156"/>
      <c r="D107" s="157" t="s">
        <v>349</v>
      </c>
      <c r="E107" s="157"/>
      <c r="F107" s="158">
        <v>0</v>
      </c>
      <c r="G107" s="158">
        <v>1197.76</v>
      </c>
      <c r="H107" s="41">
        <f t="shared" ref="H107:H112" si="40">SUM(F107:G107)</f>
        <v>1197.76</v>
      </c>
      <c r="I107" s="41">
        <f>$H$107*I2*I4</f>
        <v>2443.4304000000002</v>
      </c>
      <c r="J107" s="41">
        <f t="shared" ref="J107:T107" si="41">$H$107*J2*J4</f>
        <v>2443.4304000000002</v>
      </c>
      <c r="K107" s="41">
        <f t="shared" si="41"/>
        <v>3665.1455999999998</v>
      </c>
      <c r="L107" s="41">
        <f t="shared" si="41"/>
        <v>2443.4304000000002</v>
      </c>
      <c r="M107" s="41">
        <f t="shared" si="41"/>
        <v>2443.4304000000002</v>
      </c>
      <c r="N107" s="41">
        <f t="shared" si="41"/>
        <v>2443.4304000000002</v>
      </c>
      <c r="O107" s="41">
        <f t="shared" si="41"/>
        <v>2443.4304000000002</v>
      </c>
      <c r="P107" s="41">
        <f t="shared" si="41"/>
        <v>3665.1455999999998</v>
      </c>
      <c r="Q107" s="41">
        <f t="shared" si="41"/>
        <v>2443.4304000000002</v>
      </c>
      <c r="R107" s="41">
        <f t="shared" si="41"/>
        <v>2443.4304000000002</v>
      </c>
      <c r="S107" s="41">
        <f t="shared" si="41"/>
        <v>2443.4304000000002</v>
      </c>
      <c r="T107" s="41">
        <f t="shared" si="41"/>
        <v>2443.4304000000002</v>
      </c>
      <c r="U107" s="41">
        <f>SUM(I107:T107)</f>
        <v>31764.595200000007</v>
      </c>
      <c r="V107" s="58" t="s">
        <v>354</v>
      </c>
      <c r="W107" s="58"/>
      <c r="X107" s="41"/>
      <c r="Y107" s="41"/>
      <c r="Z107" s="41"/>
      <c r="AA107" s="41"/>
      <c r="AB107" s="58"/>
      <c r="AC107" s="58"/>
      <c r="AD107" s="58"/>
      <c r="AE107" s="58"/>
      <c r="AF107" s="58"/>
      <c r="AG107" s="58"/>
      <c r="AH107" s="58"/>
      <c r="AI107" s="42"/>
    </row>
    <row r="108" spans="1:35" x14ac:dyDescent="0.3">
      <c r="A108" s="58"/>
      <c r="B108" s="58"/>
      <c r="C108" s="156"/>
      <c r="D108" s="141"/>
      <c r="E108" s="141"/>
      <c r="F108" s="41">
        <v>2206</v>
      </c>
      <c r="G108" s="41"/>
      <c r="H108" s="41">
        <f t="shared" si="40"/>
        <v>2206</v>
      </c>
      <c r="I108" s="41">
        <f>$H$108*I2*I4</f>
        <v>4500.24</v>
      </c>
      <c r="J108" s="41">
        <f t="shared" ref="J108:T108" si="42">$H$108*J2*J4</f>
        <v>4500.24</v>
      </c>
      <c r="K108" s="41">
        <f t="shared" si="42"/>
        <v>6750.36</v>
      </c>
      <c r="L108" s="41">
        <f t="shared" si="42"/>
        <v>4500.24</v>
      </c>
      <c r="M108" s="41">
        <f t="shared" si="42"/>
        <v>4500.24</v>
      </c>
      <c r="N108" s="41">
        <f t="shared" si="42"/>
        <v>4500.24</v>
      </c>
      <c r="O108" s="41">
        <f t="shared" si="42"/>
        <v>4500.24</v>
      </c>
      <c r="P108" s="41">
        <f t="shared" si="42"/>
        <v>6750.36</v>
      </c>
      <c r="Q108" s="41">
        <f t="shared" si="42"/>
        <v>4500.24</v>
      </c>
      <c r="R108" s="41">
        <f t="shared" si="42"/>
        <v>4500.24</v>
      </c>
      <c r="S108" s="41">
        <f t="shared" si="42"/>
        <v>4500.24</v>
      </c>
      <c r="T108" s="41">
        <f t="shared" si="42"/>
        <v>4500.24</v>
      </c>
      <c r="U108" s="41">
        <f>SUM(I108:T108)</f>
        <v>58503.119999999988</v>
      </c>
      <c r="V108" s="58"/>
      <c r="W108" s="58"/>
      <c r="X108" s="41"/>
      <c r="Y108" s="41"/>
      <c r="Z108" s="41"/>
      <c r="AA108" s="41"/>
      <c r="AB108" s="58"/>
      <c r="AC108" s="58"/>
      <c r="AD108" s="58"/>
      <c r="AE108" s="58"/>
      <c r="AF108" s="58"/>
      <c r="AG108" s="58"/>
      <c r="AH108" s="58"/>
      <c r="AI108" s="42"/>
    </row>
    <row r="109" spans="1:35" x14ac:dyDescent="0.3">
      <c r="A109" s="58"/>
      <c r="B109" s="58"/>
      <c r="C109" s="156"/>
      <c r="D109" s="141"/>
      <c r="E109" s="141"/>
      <c r="F109" s="41">
        <f>SUM(F107:F108)</f>
        <v>2206</v>
      </c>
      <c r="G109" s="41"/>
      <c r="H109" s="160">
        <f>SUM(H107:H108)</f>
        <v>3403.76</v>
      </c>
      <c r="I109" s="160">
        <f t="shared" ref="I109:U109" si="43">I107+I108</f>
        <v>6943.6704</v>
      </c>
      <c r="J109" s="160">
        <f t="shared" si="43"/>
        <v>6943.6704</v>
      </c>
      <c r="K109" s="160">
        <f t="shared" si="43"/>
        <v>10415.5056</v>
      </c>
      <c r="L109" s="160">
        <f t="shared" si="43"/>
        <v>6943.6704</v>
      </c>
      <c r="M109" s="160">
        <f t="shared" si="43"/>
        <v>6943.6704</v>
      </c>
      <c r="N109" s="160">
        <f t="shared" si="43"/>
        <v>6943.6704</v>
      </c>
      <c r="O109" s="160">
        <f t="shared" si="43"/>
        <v>6943.6704</v>
      </c>
      <c r="P109" s="160">
        <f t="shared" si="43"/>
        <v>10415.5056</v>
      </c>
      <c r="Q109" s="160">
        <f t="shared" si="43"/>
        <v>6943.6704</v>
      </c>
      <c r="R109" s="160">
        <f t="shared" si="43"/>
        <v>6943.6704</v>
      </c>
      <c r="S109" s="160">
        <f t="shared" si="43"/>
        <v>6943.6704</v>
      </c>
      <c r="T109" s="160">
        <f t="shared" si="43"/>
        <v>6943.6704</v>
      </c>
      <c r="U109" s="160">
        <f t="shared" si="43"/>
        <v>90267.715199999991</v>
      </c>
      <c r="V109" s="58"/>
      <c r="W109" s="161"/>
      <c r="X109" s="41"/>
      <c r="Y109" s="41"/>
      <c r="Z109" s="41"/>
      <c r="AA109" s="41"/>
      <c r="AB109" s="58"/>
      <c r="AC109" s="58"/>
      <c r="AD109" s="58"/>
      <c r="AE109" s="58"/>
      <c r="AF109" s="58"/>
      <c r="AG109" s="58"/>
      <c r="AH109" s="58"/>
      <c r="AI109" s="42"/>
    </row>
    <row r="110" spans="1:35" x14ac:dyDescent="0.3">
      <c r="A110" s="58"/>
      <c r="B110" s="58"/>
      <c r="C110" s="156"/>
      <c r="D110" s="141"/>
      <c r="E110" s="141"/>
      <c r="F110" s="151">
        <f>F109+1198-H109</f>
        <v>0.23999999999978172</v>
      </c>
      <c r="G110" s="41"/>
      <c r="H110" s="41"/>
      <c r="I110" s="41">
        <v>2</v>
      </c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58"/>
      <c r="W110" s="161"/>
      <c r="X110" s="41"/>
      <c r="Y110" s="41"/>
      <c r="Z110" s="41"/>
      <c r="AA110" s="41"/>
      <c r="AB110" s="58"/>
      <c r="AC110" s="58"/>
      <c r="AD110" s="58"/>
      <c r="AE110" s="58"/>
      <c r="AF110" s="58"/>
      <c r="AG110" s="58"/>
      <c r="AH110" s="58"/>
      <c r="AI110" s="42"/>
    </row>
    <row r="111" spans="1:35" x14ac:dyDescent="0.3">
      <c r="A111" s="150" t="s">
        <v>287</v>
      </c>
      <c r="B111" s="58"/>
      <c r="C111" s="156"/>
      <c r="D111" s="141"/>
      <c r="E111" s="1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58"/>
      <c r="W111" s="161"/>
      <c r="X111" s="41"/>
      <c r="Y111" s="41"/>
      <c r="Z111" s="41"/>
      <c r="AA111" s="41"/>
      <c r="AB111" s="58"/>
      <c r="AC111" s="58"/>
      <c r="AD111" s="58"/>
      <c r="AE111" s="58"/>
      <c r="AF111" s="58"/>
      <c r="AG111" s="58"/>
      <c r="AH111" s="58"/>
      <c r="AI111" s="42"/>
    </row>
    <row r="112" spans="1:35" x14ac:dyDescent="0.3">
      <c r="A112" s="58"/>
      <c r="B112" s="58"/>
      <c r="C112" s="156"/>
      <c r="D112" s="141" t="s">
        <v>358</v>
      </c>
      <c r="E112" s="141"/>
      <c r="F112" s="41">
        <f>19.75*80</f>
        <v>1580</v>
      </c>
      <c r="G112" s="41"/>
      <c r="H112" s="41">
        <f t="shared" si="40"/>
        <v>1580</v>
      </c>
      <c r="I112" s="41">
        <f t="shared" ref="I112:T112" si="44">$H$112*I2*I3</f>
        <v>3223.2000000000003</v>
      </c>
      <c r="J112" s="41">
        <f t="shared" si="44"/>
        <v>3223.2000000000003</v>
      </c>
      <c r="K112" s="41">
        <f t="shared" si="44"/>
        <v>4834.8</v>
      </c>
      <c r="L112" s="41">
        <f t="shared" si="44"/>
        <v>3223.2000000000003</v>
      </c>
      <c r="M112" s="41">
        <f t="shared" si="44"/>
        <v>3223.2000000000003</v>
      </c>
      <c r="N112" s="41">
        <f t="shared" si="44"/>
        <v>3223.2000000000003</v>
      </c>
      <c r="O112" s="41">
        <f t="shared" si="44"/>
        <v>3223.2000000000003</v>
      </c>
      <c r="P112" s="41">
        <f t="shared" si="44"/>
        <v>4834.8</v>
      </c>
      <c r="Q112" s="41">
        <f t="shared" si="44"/>
        <v>3223.2000000000003</v>
      </c>
      <c r="R112" s="41">
        <f t="shared" si="44"/>
        <v>3223.2000000000003</v>
      </c>
      <c r="S112" s="41">
        <f t="shared" si="44"/>
        <v>3223.2000000000003</v>
      </c>
      <c r="T112" s="41">
        <f t="shared" si="44"/>
        <v>3223.2000000000003</v>
      </c>
      <c r="U112" s="41">
        <f>SUM(I112:T112)</f>
        <v>41901.599999999999</v>
      </c>
      <c r="V112" s="58" t="s">
        <v>354</v>
      </c>
      <c r="W112" s="161">
        <f>U112/$U$118</f>
        <v>1.5116777295962922E-2</v>
      </c>
      <c r="X112" s="41">
        <f>($X$3/12)*W112</f>
        <v>416.30974807361218</v>
      </c>
      <c r="Y112" s="41">
        <f>($Y$3/12)*W112</f>
        <v>0</v>
      </c>
      <c r="Z112" s="41">
        <f>($Z$3/12)*W112</f>
        <v>29.387015063351921</v>
      </c>
      <c r="AA112" s="41">
        <f>$AA$3*W112/12</f>
        <v>53.676652822505154</v>
      </c>
      <c r="AB112" s="58"/>
      <c r="AC112" s="58"/>
      <c r="AD112" s="58"/>
      <c r="AE112" s="58"/>
      <c r="AF112" s="58"/>
      <c r="AG112" s="58"/>
      <c r="AH112" s="58"/>
      <c r="AI112" s="42"/>
    </row>
    <row r="113" spans="1:35" x14ac:dyDescent="0.3">
      <c r="A113" s="58"/>
      <c r="B113" s="58"/>
      <c r="C113" s="141"/>
      <c r="D113" s="141"/>
      <c r="E113" s="141"/>
      <c r="F113" s="41" t="s">
        <v>99</v>
      </c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58" t="s">
        <v>354</v>
      </c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42"/>
    </row>
    <row r="114" spans="1:35" x14ac:dyDescent="0.3">
      <c r="A114" s="58"/>
      <c r="B114" s="150" t="s">
        <v>164</v>
      </c>
      <c r="C114" s="141"/>
      <c r="D114" s="141"/>
      <c r="E114" s="1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42"/>
    </row>
    <row r="115" spans="1:35" x14ac:dyDescent="0.3">
      <c r="A115" s="58"/>
      <c r="B115" s="58"/>
      <c r="C115" s="141"/>
      <c r="D115" s="141"/>
      <c r="E115" s="1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42"/>
    </row>
    <row r="116" spans="1:35" x14ac:dyDescent="0.3">
      <c r="A116" s="58"/>
      <c r="B116" s="58"/>
      <c r="C116" s="141"/>
      <c r="D116" s="141" t="s">
        <v>167</v>
      </c>
      <c r="E116" s="141"/>
      <c r="F116" s="41"/>
      <c r="G116" s="41"/>
      <c r="H116" s="41"/>
      <c r="I116" s="162">
        <f t="shared" ref="I116:T116" si="45">$H$116*I2*I3</f>
        <v>0</v>
      </c>
      <c r="J116" s="162">
        <f t="shared" si="45"/>
        <v>0</v>
      </c>
      <c r="K116" s="162">
        <f t="shared" si="45"/>
        <v>0</v>
      </c>
      <c r="L116" s="162">
        <f t="shared" si="45"/>
        <v>0</v>
      </c>
      <c r="M116" s="162">
        <f t="shared" si="45"/>
        <v>0</v>
      </c>
      <c r="N116" s="162">
        <f t="shared" si="45"/>
        <v>0</v>
      </c>
      <c r="O116" s="162">
        <f t="shared" si="45"/>
        <v>0</v>
      </c>
      <c r="P116" s="162">
        <f t="shared" si="45"/>
        <v>0</v>
      </c>
      <c r="Q116" s="162">
        <f t="shared" si="45"/>
        <v>0</v>
      </c>
      <c r="R116" s="162">
        <f t="shared" si="45"/>
        <v>0</v>
      </c>
      <c r="S116" s="162">
        <f t="shared" si="45"/>
        <v>0</v>
      </c>
      <c r="T116" s="162">
        <f t="shared" si="45"/>
        <v>0</v>
      </c>
      <c r="U116" s="41">
        <f>SUM(I116:T116)</f>
        <v>0</v>
      </c>
      <c r="V116" s="58"/>
      <c r="W116" s="163">
        <f>SUM(W1:W115)</f>
        <v>0.96122228979910673</v>
      </c>
      <c r="X116" s="41">
        <f>SUM(X10:X115)*12</f>
        <v>317659.93622135982</v>
      </c>
      <c r="Y116" s="41">
        <f>SUM(Y10:Y115)*12</f>
        <v>0</v>
      </c>
      <c r="Z116" s="41">
        <f>SUM(Z10:Z115)*12</f>
        <v>22423.393576433562</v>
      </c>
      <c r="AA116" s="41">
        <f>SUM(AA10:AA115)*12</f>
        <v>40957.29727942402</v>
      </c>
      <c r="AB116" s="58"/>
      <c r="AC116" s="58"/>
      <c r="AD116" s="58"/>
      <c r="AE116" s="58"/>
      <c r="AF116" s="58"/>
      <c r="AG116" s="58"/>
      <c r="AH116" s="58"/>
      <c r="AI116" s="42"/>
    </row>
    <row r="117" spans="1:35" x14ac:dyDescent="0.3">
      <c r="A117" s="58"/>
      <c r="B117" s="58"/>
      <c r="C117" s="141"/>
      <c r="D117" s="141"/>
      <c r="E117" s="1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58"/>
      <c r="W117" s="58"/>
      <c r="X117" s="58">
        <f>X116/X3</f>
        <v>0.96122228979910684</v>
      </c>
      <c r="Y117" s="58"/>
      <c r="Z117" s="58">
        <f>Z116/Z3</f>
        <v>0.96122228979910673</v>
      </c>
      <c r="AA117" s="58">
        <f>AA116/AA3</f>
        <v>0.96122228979910662</v>
      </c>
      <c r="AB117" s="58"/>
      <c r="AC117" s="58"/>
      <c r="AD117" s="58"/>
      <c r="AE117" s="58"/>
      <c r="AF117" s="58"/>
      <c r="AG117" s="58"/>
      <c r="AH117" s="58"/>
      <c r="AI117" s="42"/>
    </row>
    <row r="118" spans="1:35" x14ac:dyDescent="0.3">
      <c r="A118" s="58"/>
      <c r="B118" s="58"/>
      <c r="C118" s="141"/>
      <c r="D118" s="141" t="s">
        <v>359</v>
      </c>
      <c r="E118" s="141"/>
      <c r="F118" s="41">
        <f>F10+F17+F40+F50+F61+F69+F75+F82+F90+F97+F104+F109+F112+F26</f>
        <v>104518.592</v>
      </c>
      <c r="G118" s="41"/>
      <c r="H118" s="41">
        <f>H10+H17+H40+H50+H61+H69+H82+H90+H97+H104+H109+H112+H19</f>
        <v>104519.63199999997</v>
      </c>
      <c r="I118" s="41">
        <f t="shared" ref="I118:U118" si="46">I10+I17+I40+I50+I61+I69+I82+I90+I97+I104+I109+I112+I19</f>
        <v>213220.04928000001</v>
      </c>
      <c r="J118" s="41">
        <f t="shared" si="46"/>
        <v>213220.04928000001</v>
      </c>
      <c r="K118" s="41">
        <f t="shared" si="46"/>
        <v>319830.07392</v>
      </c>
      <c r="L118" s="41">
        <f t="shared" si="46"/>
        <v>213220.04928000001</v>
      </c>
      <c r="M118" s="41">
        <f t="shared" si="46"/>
        <v>213220.04928000001</v>
      </c>
      <c r="N118" s="41">
        <f t="shared" si="46"/>
        <v>213220.04928000001</v>
      </c>
      <c r="O118" s="41">
        <f t="shared" si="46"/>
        <v>213220.04928000001</v>
      </c>
      <c r="P118" s="41">
        <f t="shared" si="46"/>
        <v>319830.07392</v>
      </c>
      <c r="Q118" s="41">
        <f t="shared" si="46"/>
        <v>213220.04928000001</v>
      </c>
      <c r="R118" s="41">
        <f t="shared" si="46"/>
        <v>213220.04928000001</v>
      </c>
      <c r="S118" s="41">
        <f t="shared" si="46"/>
        <v>213220.04928000001</v>
      </c>
      <c r="T118" s="41">
        <f t="shared" si="46"/>
        <v>213220.04928000001</v>
      </c>
      <c r="U118" s="41">
        <f t="shared" si="46"/>
        <v>2771860.6406400003</v>
      </c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42"/>
    </row>
    <row r="119" spans="1:35" x14ac:dyDescent="0.3">
      <c r="A119" s="58"/>
      <c r="B119" s="58"/>
      <c r="C119" s="141"/>
      <c r="D119" s="141"/>
      <c r="E119" s="141"/>
      <c r="F119" s="41"/>
      <c r="G119" s="41"/>
      <c r="H119" s="41">
        <f>H118*2</f>
        <v>209039.26399999994</v>
      </c>
      <c r="I119" s="41">
        <f>H119*13</f>
        <v>2717510.4319999991</v>
      </c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>
        <f>SUM(I118:T118)</f>
        <v>2771860.6406399994</v>
      </c>
      <c r="U119" s="41">
        <f>U118-T119</f>
        <v>0</v>
      </c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42"/>
    </row>
    <row r="120" spans="1:35" x14ac:dyDescent="0.3">
      <c r="A120" s="58"/>
      <c r="B120" s="58"/>
      <c r="C120" s="141"/>
      <c r="D120" s="141"/>
      <c r="E120" s="141"/>
      <c r="F120" s="41">
        <v>104520</v>
      </c>
      <c r="G120" s="41">
        <f>SUM(G2:G117)</f>
        <v>1.0100000000015825</v>
      </c>
      <c r="H120" s="41">
        <f>F118-H118</f>
        <v>-1.0399999999644933</v>
      </c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>
        <v>0</v>
      </c>
      <c r="U120" s="41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42"/>
    </row>
    <row r="121" spans="1:35" x14ac:dyDescent="0.3">
      <c r="A121" s="58"/>
      <c r="B121" s="58"/>
      <c r="C121" s="141"/>
      <c r="D121" s="141"/>
      <c r="E121" s="141"/>
      <c r="F121" s="149" t="s">
        <v>99</v>
      </c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42"/>
    </row>
    <row r="122" spans="1:35" x14ac:dyDescent="0.3">
      <c r="A122" s="58"/>
      <c r="B122" s="58"/>
      <c r="C122" s="141"/>
      <c r="D122" s="141"/>
      <c r="E122" s="141"/>
      <c r="F122" s="41">
        <f>F120-F118</f>
        <v>1.407999999995809</v>
      </c>
      <c r="G122" s="41"/>
      <c r="H122" s="41"/>
      <c r="I122" s="41" t="s">
        <v>99</v>
      </c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42"/>
    </row>
    <row r="123" spans="1:35" x14ac:dyDescent="0.3">
      <c r="A123" s="58"/>
      <c r="B123" s="58"/>
      <c r="C123" s="141"/>
      <c r="D123" s="141"/>
      <c r="E123" s="141"/>
      <c r="F123" s="141"/>
      <c r="G123" s="141"/>
      <c r="H123" s="141"/>
      <c r="I123" s="141"/>
      <c r="J123" s="141"/>
      <c r="K123" s="58"/>
      <c r="L123" s="58"/>
      <c r="M123" s="41"/>
      <c r="N123" s="41"/>
      <c r="O123" s="41"/>
      <c r="P123" s="41"/>
      <c r="Q123" s="41"/>
      <c r="R123" s="41"/>
      <c r="S123" s="41"/>
      <c r="T123" s="58"/>
      <c r="U123" s="41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42"/>
    </row>
    <row r="124" spans="1:35" x14ac:dyDescent="0.3">
      <c r="A124" s="58">
        <f>B124/53003.38*58558</f>
        <v>10971.25730504849</v>
      </c>
      <c r="B124" s="58">
        <f>59038*C124</f>
        <v>9930.559787172735</v>
      </c>
      <c r="C124" s="164">
        <v>0.16820623644386218</v>
      </c>
      <c r="D124" s="42" t="s">
        <v>360</v>
      </c>
      <c r="E124" s="141"/>
      <c r="F124" s="141">
        <v>10973</v>
      </c>
      <c r="G124" s="141"/>
      <c r="H124" s="141"/>
      <c r="I124" s="141"/>
      <c r="J124" s="141"/>
      <c r="K124" s="58"/>
      <c r="L124" s="58"/>
      <c r="M124" s="41"/>
      <c r="N124" s="41" t="s">
        <v>99</v>
      </c>
      <c r="O124" s="41"/>
      <c r="P124" s="41"/>
      <c r="Q124" s="41"/>
      <c r="R124" s="41"/>
      <c r="S124" s="41"/>
      <c r="T124" s="58"/>
      <c r="U124" s="41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42"/>
    </row>
    <row r="125" spans="1:35" x14ac:dyDescent="0.3">
      <c r="A125" s="58">
        <f>B125/53003.38*58558</f>
        <v>10862.301631088263</v>
      </c>
      <c r="B125" s="58">
        <f t="shared" ref="B125:B131" si="47">59038*C125</f>
        <v>9831.9392914237342</v>
      </c>
      <c r="C125" s="164">
        <v>0.16653577850577145</v>
      </c>
      <c r="D125" s="42" t="s">
        <v>361</v>
      </c>
      <c r="E125" s="42"/>
      <c r="F125" s="42">
        <v>10860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</row>
    <row r="126" spans="1:35" x14ac:dyDescent="0.3">
      <c r="A126" s="58">
        <f t="shared" ref="A126:A131" si="48">B126/53003.38*58558</f>
        <v>6167.5716297864101</v>
      </c>
      <c r="B126" s="58">
        <f t="shared" si="47"/>
        <v>5582.5359945829496</v>
      </c>
      <c r="C126" s="164">
        <v>9.4558352155949543E-2</v>
      </c>
      <c r="D126" s="42" t="s">
        <v>362</v>
      </c>
      <c r="E126" s="42"/>
      <c r="F126" s="42">
        <v>6170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</row>
    <row r="127" spans="1:35" x14ac:dyDescent="0.3">
      <c r="A127" s="58">
        <f t="shared" si="48"/>
        <v>6906.4990911561454</v>
      </c>
      <c r="B127" s="58">
        <f t="shared" si="47"/>
        <v>6251.3712182486388</v>
      </c>
      <c r="C127" s="164">
        <v>0.10588724581199632</v>
      </c>
      <c r="D127" s="42" t="s">
        <v>363</v>
      </c>
      <c r="E127" s="42"/>
      <c r="F127" s="42">
        <v>6905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</row>
    <row r="128" spans="1:35" x14ac:dyDescent="0.3">
      <c r="A128" s="58">
        <f t="shared" si="48"/>
        <v>6660.0653497581361</v>
      </c>
      <c r="B128" s="58">
        <f t="shared" si="47"/>
        <v>6028.3133740575731</v>
      </c>
      <c r="C128" s="164">
        <v>0.10210903780713393</v>
      </c>
      <c r="D128" s="42" t="s">
        <v>364</v>
      </c>
      <c r="E128" s="42"/>
      <c r="F128" s="42">
        <v>6660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</row>
    <row r="129" spans="1:35" x14ac:dyDescent="0.3">
      <c r="A129" s="58">
        <f t="shared" si="48"/>
        <v>10345.177130852531</v>
      </c>
      <c r="B129" s="58">
        <f t="shared" si="47"/>
        <v>9363.867526792008</v>
      </c>
      <c r="C129" s="164">
        <v>0.15860746513757254</v>
      </c>
      <c r="D129" s="42" t="s">
        <v>365</v>
      </c>
      <c r="E129" s="42"/>
      <c r="F129" s="42">
        <v>10345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</row>
    <row r="130" spans="1:35" x14ac:dyDescent="0.3">
      <c r="A130" s="58">
        <f t="shared" si="48"/>
        <v>0</v>
      </c>
      <c r="B130" s="58">
        <v>0</v>
      </c>
      <c r="C130" s="164">
        <v>0.10221589065076521</v>
      </c>
      <c r="D130" s="42" t="s">
        <v>366</v>
      </c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</row>
    <row r="131" spans="1:35" x14ac:dyDescent="0.3">
      <c r="A131" s="58">
        <f t="shared" si="48"/>
        <v>6645.1259264398559</v>
      </c>
      <c r="B131" s="58">
        <f t="shared" si="47"/>
        <v>6014.7910554824912</v>
      </c>
      <c r="C131" s="164">
        <v>0.10187999348694893</v>
      </c>
      <c r="D131" s="42" t="s">
        <v>367</v>
      </c>
      <c r="E131" s="42"/>
      <c r="F131" s="42">
        <v>6645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</row>
    <row r="132" spans="1:35" x14ac:dyDescent="0.3">
      <c r="A132" s="58">
        <f>SUM(A124:A131)</f>
        <v>58557.998064129832</v>
      </c>
      <c r="B132" s="58">
        <f>SUM(B124:B131)</f>
        <v>53003.378247760134</v>
      </c>
      <c r="C132" s="42"/>
      <c r="D132" s="42"/>
      <c r="E132" s="42"/>
      <c r="F132" s="24">
        <f>SUM(F124:F131)</f>
        <v>58558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</row>
    <row r="133" spans="1:35" x14ac:dyDescent="0.3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</row>
    <row r="134" spans="1:35" x14ac:dyDescent="0.3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</row>
    <row r="135" spans="1:35" x14ac:dyDescent="0.3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</row>
    <row r="136" spans="1:35" x14ac:dyDescent="0.3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</row>
    <row r="137" spans="1:35" x14ac:dyDescent="0.3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</row>
    <row r="138" spans="1:35" x14ac:dyDescent="0.3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</row>
    <row r="139" spans="1:35" x14ac:dyDescent="0.3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</row>
    <row r="140" spans="1:35" x14ac:dyDescent="0.3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</row>
    <row r="141" spans="1:35" x14ac:dyDescent="0.3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</row>
    <row r="142" spans="1:35" x14ac:dyDescent="0.3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</row>
    <row r="143" spans="1:35" x14ac:dyDescent="0.3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</row>
    <row r="144" spans="1:35" x14ac:dyDescent="0.3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</row>
    <row r="145" spans="1:35" x14ac:dyDescent="0.3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</row>
    <row r="146" spans="1:35" x14ac:dyDescent="0.3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</row>
    <row r="147" spans="1:35" x14ac:dyDescent="0.3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</row>
    <row r="148" spans="1:35" x14ac:dyDescent="0.3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</row>
    <row r="149" spans="1:35" x14ac:dyDescent="0.3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</row>
    <row r="150" spans="1:35" x14ac:dyDescent="0.3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</row>
    <row r="151" spans="1:35" x14ac:dyDescent="0.3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</row>
    <row r="152" spans="1:35" x14ac:dyDescent="0.3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</row>
    <row r="153" spans="1:35" x14ac:dyDescent="0.3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</row>
    <row r="154" spans="1:35" x14ac:dyDescent="0.3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</row>
    <row r="155" spans="1:35" x14ac:dyDescent="0.3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</row>
    <row r="156" spans="1:35" x14ac:dyDescent="0.3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</row>
    <row r="157" spans="1:35" x14ac:dyDescent="0.3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</row>
    <row r="158" spans="1:35" x14ac:dyDescent="0.3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</row>
    <row r="159" spans="1:35" x14ac:dyDescent="0.3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</row>
  </sheetData>
  <sheetProtection algorithmName="SHA-512" hashValue="Spz1XqKxmMneqAB4zW8xAN9VUurye3ENjds55Ey3J7pKJI96AoFZRfFDYiC+fZ+jjYWkCuguU8fx8sm+Ys1bZA==" saltValue="a10vu0NuvPw1MDYcRuz+vQ==" spinCount="100000" sheet="1" objects="1" scenarios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E5" sqref="E5"/>
    </sheetView>
  </sheetViews>
  <sheetFormatPr defaultRowHeight="14.4" x14ac:dyDescent="0.3"/>
  <cols>
    <col min="4" max="4" width="9.109375" style="24"/>
    <col min="5" max="5" width="11" style="140" bestFit="1" customWidth="1"/>
    <col min="6" max="7" width="9.109375" style="24"/>
  </cols>
  <sheetData>
    <row r="1" spans="1:16" x14ac:dyDescent="0.3">
      <c r="A1" t="s">
        <v>309</v>
      </c>
    </row>
    <row r="3" spans="1:16" x14ac:dyDescent="0.3">
      <c r="A3" s="24" t="s">
        <v>24</v>
      </c>
      <c r="B3" s="42"/>
      <c r="C3" s="42"/>
      <c r="D3" s="24" t="s">
        <v>310</v>
      </c>
      <c r="E3" s="140" t="s">
        <v>319</v>
      </c>
      <c r="H3" s="42"/>
      <c r="I3" s="42"/>
      <c r="J3" s="42"/>
      <c r="K3" s="42"/>
      <c r="L3" s="42"/>
      <c r="M3" s="42"/>
    </row>
    <row r="4" spans="1:16" x14ac:dyDescent="0.3">
      <c r="A4" s="24" t="s">
        <v>25</v>
      </c>
      <c r="B4" s="42"/>
      <c r="C4" s="42"/>
      <c r="D4" s="24">
        <v>0</v>
      </c>
      <c r="E4" s="140" t="s">
        <v>99</v>
      </c>
      <c r="H4" s="42"/>
      <c r="I4" s="42"/>
      <c r="J4" s="42"/>
      <c r="K4" s="42"/>
      <c r="L4" s="42"/>
      <c r="M4" s="42"/>
    </row>
    <row r="5" spans="1:16" x14ac:dyDescent="0.3">
      <c r="A5" s="24" t="s">
        <v>26</v>
      </c>
      <c r="B5" s="42"/>
      <c r="C5" s="42"/>
      <c r="D5" s="43">
        <v>333790</v>
      </c>
      <c r="E5" s="197">
        <f>D5/Sheet2!C1</f>
        <v>0.12042091694874334</v>
      </c>
      <c r="H5" s="42"/>
      <c r="I5" s="42"/>
      <c r="J5" s="42" t="s">
        <v>99</v>
      </c>
      <c r="K5" s="42"/>
      <c r="L5" s="42"/>
      <c r="M5" s="42"/>
    </row>
    <row r="6" spans="1:16" x14ac:dyDescent="0.3">
      <c r="A6" s="24" t="s">
        <v>27</v>
      </c>
      <c r="B6" s="42"/>
      <c r="C6" s="42"/>
      <c r="D6" s="24" t="s">
        <v>99</v>
      </c>
      <c r="E6" s="166">
        <v>1.12E-2</v>
      </c>
      <c r="H6" s="42"/>
      <c r="I6" s="42"/>
      <c r="J6" s="42" t="s">
        <v>317</v>
      </c>
      <c r="K6" s="42"/>
      <c r="L6" s="42"/>
      <c r="M6" s="42"/>
    </row>
    <row r="7" spans="1:16" x14ac:dyDescent="0.3">
      <c r="A7" s="24" t="s">
        <v>28</v>
      </c>
      <c r="B7" s="42"/>
      <c r="C7" s="42"/>
      <c r="D7" s="24" t="s">
        <v>310</v>
      </c>
      <c r="E7" s="166">
        <v>2.18E-2</v>
      </c>
      <c r="H7" s="42"/>
      <c r="I7" s="42"/>
      <c r="J7" s="42" t="s">
        <v>311</v>
      </c>
      <c r="K7" s="42"/>
      <c r="L7" s="42"/>
      <c r="M7" s="43">
        <v>38</v>
      </c>
      <c r="P7">
        <v>38</v>
      </c>
    </row>
    <row r="8" spans="1:16" x14ac:dyDescent="0.3">
      <c r="A8" s="24" t="s">
        <v>29</v>
      </c>
      <c r="B8" s="42"/>
      <c r="C8" s="42"/>
      <c r="D8" s="24">
        <v>38060</v>
      </c>
      <c r="E8" s="166">
        <f>D8/Sheet2!C1</f>
        <v>1.3730849034030893E-2</v>
      </c>
      <c r="H8" s="42"/>
      <c r="I8" s="42"/>
      <c r="J8" s="42" t="s">
        <v>312</v>
      </c>
      <c r="K8" s="42"/>
      <c r="L8" s="42"/>
      <c r="M8" s="43">
        <v>625</v>
      </c>
      <c r="P8" s="43">
        <f>799.42*0.8</f>
        <v>639.53600000000006</v>
      </c>
    </row>
    <row r="9" spans="1:16" x14ac:dyDescent="0.3">
      <c r="A9" s="24"/>
      <c r="B9" s="42"/>
      <c r="C9" s="42"/>
      <c r="D9" s="42"/>
      <c r="F9" s="146">
        <f>SUM(E6:E8)</f>
        <v>4.6730849034030894E-2</v>
      </c>
      <c r="H9" s="42"/>
      <c r="I9" s="42"/>
      <c r="J9" s="42" t="s">
        <v>313</v>
      </c>
      <c r="K9" s="42"/>
      <c r="L9" s="42"/>
      <c r="M9" s="43">
        <f>M7*M8</f>
        <v>23750</v>
      </c>
      <c r="P9" s="43">
        <f>P7*P8</f>
        <v>24302.368000000002</v>
      </c>
    </row>
    <row r="10" spans="1:16" x14ac:dyDescent="0.3">
      <c r="A10" s="24"/>
      <c r="B10" s="42"/>
      <c r="C10" s="42"/>
      <c r="D10" s="42"/>
      <c r="F10" s="42"/>
      <c r="G10" s="42"/>
      <c r="H10" s="42"/>
      <c r="I10" s="42"/>
      <c r="J10" s="42" t="s">
        <v>314</v>
      </c>
      <c r="K10" s="42"/>
      <c r="L10" s="42"/>
      <c r="M10" s="140">
        <v>0.29899999999999999</v>
      </c>
      <c r="P10" s="43"/>
    </row>
    <row r="11" spans="1:16" x14ac:dyDescent="0.3">
      <c r="A11" s="24"/>
      <c r="B11" s="42"/>
      <c r="C11" s="42"/>
      <c r="D11" s="42"/>
      <c r="F11" s="42"/>
      <c r="G11" s="42"/>
      <c r="H11" s="42"/>
      <c r="I11" s="42"/>
      <c r="J11" s="42" t="s">
        <v>315</v>
      </c>
      <c r="K11" s="42"/>
      <c r="L11" s="42"/>
      <c r="M11" s="43">
        <f>M9*(1+M10)</f>
        <v>30851.25</v>
      </c>
      <c r="P11" s="43">
        <v>24302</v>
      </c>
    </row>
    <row r="12" spans="1:16" x14ac:dyDescent="0.3">
      <c r="A12" s="24"/>
      <c r="B12" s="42"/>
      <c r="C12" s="42"/>
      <c r="D12" s="42"/>
      <c r="F12" s="42"/>
      <c r="G12" s="42"/>
      <c r="H12" s="42"/>
      <c r="I12" s="42"/>
      <c r="J12" s="42" t="s">
        <v>182</v>
      </c>
      <c r="K12" s="42"/>
      <c r="L12" s="42"/>
      <c r="M12" s="43">
        <f>M11*12</f>
        <v>370215</v>
      </c>
      <c r="P12" s="43">
        <f>P11*12</f>
        <v>291624</v>
      </c>
    </row>
    <row r="13" spans="1:16" x14ac:dyDescent="0.3">
      <c r="A13" s="24"/>
      <c r="B13" s="42"/>
      <c r="C13" s="42"/>
      <c r="D13" s="42"/>
      <c r="F13" s="42"/>
      <c r="G13" s="42"/>
      <c r="H13" s="42"/>
      <c r="I13" s="42"/>
      <c r="J13" s="42" t="s">
        <v>316</v>
      </c>
      <c r="K13" s="42"/>
      <c r="L13" s="42"/>
      <c r="M13" s="43">
        <f>37*32*0.8*12</f>
        <v>11366.400000000001</v>
      </c>
      <c r="P13" s="43">
        <v>11366</v>
      </c>
    </row>
    <row r="14" spans="1:16" x14ac:dyDescent="0.3">
      <c r="A14" s="24"/>
      <c r="B14" s="42"/>
      <c r="C14" s="42"/>
      <c r="D14" s="42"/>
      <c r="F14" s="42"/>
      <c r="G14" s="42"/>
      <c r="H14" s="42"/>
      <c r="I14" s="42"/>
      <c r="J14" s="42" t="s">
        <v>381</v>
      </c>
      <c r="K14" s="42"/>
      <c r="L14" s="42"/>
      <c r="M14" s="43">
        <v>38000</v>
      </c>
      <c r="P14" s="43">
        <v>35000</v>
      </c>
    </row>
    <row r="15" spans="1:16" x14ac:dyDescent="0.3">
      <c r="A15" s="24"/>
      <c r="B15" s="42"/>
      <c r="C15" s="42"/>
      <c r="D15" s="42"/>
      <c r="F15" s="42"/>
      <c r="G15" s="42"/>
      <c r="H15" s="42"/>
      <c r="I15" s="42"/>
      <c r="J15" s="42"/>
      <c r="K15" s="42"/>
      <c r="L15" s="42"/>
      <c r="M15" s="43"/>
      <c r="P15" s="43"/>
    </row>
    <row r="16" spans="1:16" x14ac:dyDescent="0.3">
      <c r="A16" s="24"/>
      <c r="B16" s="42"/>
      <c r="C16" s="42"/>
      <c r="D16" s="42"/>
      <c r="F16" s="42"/>
      <c r="G16" s="42"/>
      <c r="H16" s="42"/>
      <c r="I16" s="42"/>
      <c r="J16" s="42"/>
      <c r="K16" s="42"/>
      <c r="L16" s="42"/>
      <c r="M16" s="43">
        <f>SUM(M12:M14)</f>
        <v>419581.4</v>
      </c>
      <c r="O16" s="42"/>
      <c r="P16" s="43">
        <f>SUM(P12:P14)</f>
        <v>337990</v>
      </c>
    </row>
    <row r="17" spans="1:13" x14ac:dyDescent="0.3">
      <c r="M17">
        <f>M16/38</f>
        <v>11041.615789473684</v>
      </c>
    </row>
    <row r="18" spans="1:13" x14ac:dyDescent="0.3">
      <c r="A18" s="42"/>
      <c r="B18" s="82"/>
      <c r="C18" s="82"/>
    </row>
    <row r="22" spans="1:13" x14ac:dyDescent="0.3">
      <c r="A22" s="42"/>
      <c r="B22" s="42"/>
      <c r="C22" s="42"/>
      <c r="D22" s="42"/>
      <c r="E22" s="3" t="s">
        <v>382</v>
      </c>
      <c r="F22" s="3"/>
      <c r="G22" s="3" t="s">
        <v>383</v>
      </c>
      <c r="H22" s="3"/>
      <c r="I22" s="3" t="s">
        <v>384</v>
      </c>
    </row>
    <row r="23" spans="1:13" x14ac:dyDescent="0.3">
      <c r="A23" s="42"/>
      <c r="B23" s="42"/>
      <c r="C23" s="42"/>
      <c r="D23" s="42"/>
      <c r="E23" s="3"/>
      <c r="F23" s="3"/>
      <c r="G23" s="3"/>
      <c r="H23" s="3"/>
      <c r="I23" s="3"/>
    </row>
    <row r="24" spans="1:13" x14ac:dyDescent="0.3">
      <c r="A24" s="42" t="s">
        <v>385</v>
      </c>
      <c r="B24" s="42"/>
      <c r="C24" s="42"/>
      <c r="D24" s="42"/>
      <c r="E24" s="42">
        <v>780.12</v>
      </c>
      <c r="F24" s="42"/>
      <c r="G24" s="42">
        <v>1005.84</v>
      </c>
      <c r="H24" s="42"/>
      <c r="I24" s="42">
        <f>799.42</f>
        <v>799.42</v>
      </c>
    </row>
    <row r="25" spans="1:13" x14ac:dyDescent="0.3">
      <c r="A25" s="42" t="s">
        <v>386</v>
      </c>
      <c r="B25" s="42"/>
      <c r="C25" s="42"/>
      <c r="D25" s="42"/>
      <c r="E25" s="43">
        <f>E24*0.8</f>
        <v>624.096</v>
      </c>
      <c r="F25" s="43"/>
      <c r="G25" s="43">
        <f>G24*0.8</f>
        <v>804.67200000000003</v>
      </c>
      <c r="H25" s="42"/>
      <c r="I25" s="43">
        <f>I24*0.8</f>
        <v>639.53600000000006</v>
      </c>
    </row>
    <row r="26" spans="1:13" x14ac:dyDescent="0.3">
      <c r="A26" s="42"/>
      <c r="B26" s="42"/>
      <c r="C26" s="42"/>
      <c r="D26" s="42"/>
      <c r="E26" s="42"/>
      <c r="F26" s="42"/>
      <c r="G26" s="42"/>
      <c r="H26" s="42"/>
      <c r="I26" s="42"/>
    </row>
    <row r="27" spans="1:13" x14ac:dyDescent="0.3">
      <c r="A27" s="42" t="s">
        <v>311</v>
      </c>
      <c r="B27" s="42"/>
      <c r="C27" s="42"/>
      <c r="D27" s="42"/>
      <c r="E27" s="43">
        <v>38</v>
      </c>
      <c r="F27" s="43"/>
      <c r="G27" s="43">
        <v>38</v>
      </c>
      <c r="H27" s="42"/>
      <c r="I27" s="42">
        <v>38</v>
      </c>
    </row>
    <row r="28" spans="1:13" x14ac:dyDescent="0.3">
      <c r="A28" s="42" t="s">
        <v>312</v>
      </c>
      <c r="B28" s="42"/>
      <c r="C28" s="42"/>
      <c r="D28" s="42"/>
      <c r="E28" s="43">
        <v>625</v>
      </c>
      <c r="F28" s="43"/>
      <c r="G28" s="43">
        <f>G25</f>
        <v>804.67200000000003</v>
      </c>
      <c r="H28" s="42"/>
      <c r="I28" s="43">
        <f>799.42*0.8</f>
        <v>639.53600000000006</v>
      </c>
    </row>
    <row r="29" spans="1:13" x14ac:dyDescent="0.3">
      <c r="A29" s="42" t="s">
        <v>313</v>
      </c>
      <c r="B29" s="42"/>
      <c r="C29" s="42"/>
      <c r="D29" s="42"/>
      <c r="E29" s="43">
        <f>E27*E28</f>
        <v>23750</v>
      </c>
      <c r="F29" s="43"/>
      <c r="G29" s="43">
        <f>G27*G28</f>
        <v>30577.536</v>
      </c>
      <c r="H29" s="42"/>
      <c r="I29" s="43">
        <f>I27*I28</f>
        <v>24302.368000000002</v>
      </c>
    </row>
    <row r="30" spans="1:13" x14ac:dyDescent="0.3">
      <c r="A30" s="42" t="s">
        <v>387</v>
      </c>
      <c r="B30" s="42"/>
      <c r="C30" s="42"/>
      <c r="D30" s="42"/>
      <c r="E30" s="140">
        <v>0.29899999999999999</v>
      </c>
      <c r="F30" s="140"/>
      <c r="G30" s="140"/>
      <c r="H30" s="42"/>
      <c r="I30" s="43"/>
    </row>
    <row r="31" spans="1:13" x14ac:dyDescent="0.3">
      <c r="A31" s="42"/>
      <c r="B31" s="42"/>
      <c r="C31" s="42"/>
      <c r="D31" s="42"/>
      <c r="F31" s="140"/>
      <c r="G31" s="140"/>
      <c r="H31" s="42"/>
      <c r="I31" s="43"/>
    </row>
    <row r="32" spans="1:13" x14ac:dyDescent="0.3">
      <c r="A32" s="42" t="s">
        <v>388</v>
      </c>
      <c r="B32" s="42"/>
      <c r="C32" s="42"/>
      <c r="D32" s="42"/>
      <c r="E32" s="43">
        <f>E29*(1+E30)</f>
        <v>30851.25</v>
      </c>
      <c r="F32" s="43"/>
      <c r="G32" s="43">
        <f>G29</f>
        <v>30577.536</v>
      </c>
      <c r="H32" s="42"/>
      <c r="I32" s="43">
        <v>24302</v>
      </c>
    </row>
    <row r="33" spans="1:9" x14ac:dyDescent="0.3">
      <c r="A33" s="42"/>
      <c r="B33" s="42"/>
      <c r="C33" s="42"/>
      <c r="D33" s="42"/>
      <c r="E33" s="43"/>
      <c r="F33" s="43"/>
      <c r="G33" s="43"/>
      <c r="H33" s="42"/>
      <c r="I33" s="43"/>
    </row>
    <row r="34" spans="1:9" x14ac:dyDescent="0.3">
      <c r="A34" s="42" t="s">
        <v>182</v>
      </c>
      <c r="B34" s="42"/>
      <c r="C34" s="42"/>
      <c r="D34" s="42"/>
      <c r="E34" s="43">
        <f>E32*12</f>
        <v>370215</v>
      </c>
      <c r="F34" s="43"/>
      <c r="G34" s="43">
        <f>G32*12</f>
        <v>366930.43200000003</v>
      </c>
      <c r="H34" s="42"/>
      <c r="I34" s="43">
        <f>I32*12</f>
        <v>291624</v>
      </c>
    </row>
    <row r="35" spans="1:9" x14ac:dyDescent="0.3">
      <c r="A35" s="42" t="s">
        <v>316</v>
      </c>
      <c r="B35" s="42"/>
      <c r="C35" s="42"/>
      <c r="D35" s="42"/>
      <c r="E35" s="43">
        <f>37*32*0.8*12</f>
        <v>11366.400000000001</v>
      </c>
      <c r="F35" s="43"/>
      <c r="G35" s="43">
        <f>37*32*0.8*12</f>
        <v>11366.400000000001</v>
      </c>
      <c r="H35" s="42"/>
      <c r="I35" s="43">
        <v>11366</v>
      </c>
    </row>
    <row r="36" spans="1:9" x14ac:dyDescent="0.3">
      <c r="A36" s="42" t="s">
        <v>381</v>
      </c>
      <c r="B36" s="42"/>
      <c r="C36" s="42"/>
      <c r="D36" s="42"/>
      <c r="E36" s="122">
        <v>38000</v>
      </c>
      <c r="F36" s="122"/>
      <c r="G36" s="122">
        <v>35000</v>
      </c>
      <c r="H36" s="174"/>
      <c r="I36" s="122">
        <v>35000</v>
      </c>
    </row>
    <row r="37" spans="1:9" x14ac:dyDescent="0.3">
      <c r="A37" s="42"/>
      <c r="B37" s="42"/>
      <c r="C37" s="42"/>
      <c r="D37" s="42"/>
      <c r="E37" s="43"/>
      <c r="F37" s="43"/>
      <c r="G37" s="43"/>
      <c r="H37" s="42"/>
      <c r="I37" s="43"/>
    </row>
    <row r="38" spans="1:9" ht="15" thickBot="1" x14ac:dyDescent="0.35">
      <c r="A38" s="42"/>
      <c r="B38" s="42"/>
      <c r="C38" s="42"/>
      <c r="D38" s="42"/>
      <c r="E38" s="175">
        <f>SUM(E34:E36)</f>
        <v>419581.4</v>
      </c>
      <c r="F38" s="175"/>
      <c r="G38" s="175">
        <f>SUM(G34:G36)</f>
        <v>413296.83200000005</v>
      </c>
      <c r="H38" s="176"/>
      <c r="I38" s="175">
        <f>SUM(I34:I36)</f>
        <v>337990</v>
      </c>
    </row>
    <row r="39" spans="1:9" x14ac:dyDescent="0.3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3">
      <c r="A40" s="42" t="s">
        <v>389</v>
      </c>
      <c r="B40" s="42"/>
      <c r="C40" s="42"/>
      <c r="D40" s="42"/>
      <c r="E40" s="42"/>
      <c r="F40" s="42"/>
      <c r="G40" s="43">
        <f>E38-G38</f>
        <v>6284.5679999999702</v>
      </c>
      <c r="H40" s="42"/>
      <c r="I40" s="43">
        <f>E38-I38</f>
        <v>81591.400000000023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" zoomScale="96" zoomScaleNormal="96" workbookViewId="0">
      <selection activeCell="A17" sqref="A17:XFD54"/>
    </sheetView>
  </sheetViews>
  <sheetFormatPr defaultRowHeight="14.4" x14ac:dyDescent="0.3"/>
  <cols>
    <col min="3" max="3" width="11.44140625" style="147" bestFit="1" customWidth="1"/>
    <col min="4" max="4" width="9.21875" bestFit="1" customWidth="1"/>
  </cols>
  <sheetData>
    <row r="1" spans="1:9" x14ac:dyDescent="0.3">
      <c r="A1" t="s">
        <v>321</v>
      </c>
      <c r="C1" s="43">
        <f>Sheet22!U118</f>
        <v>2771860.6406400003</v>
      </c>
      <c r="D1">
        <f>C1*1.02</f>
        <v>2827297.8534528003</v>
      </c>
    </row>
    <row r="2" spans="1:9" x14ac:dyDescent="0.3">
      <c r="C2" s="43"/>
    </row>
    <row r="3" spans="1:9" x14ac:dyDescent="0.3">
      <c r="A3" t="s">
        <v>322</v>
      </c>
      <c r="C3" s="43">
        <f>C1*0.011</f>
        <v>30490.467047040001</v>
      </c>
      <c r="F3" t="s">
        <v>325</v>
      </c>
      <c r="H3" t="s">
        <v>326</v>
      </c>
      <c r="I3">
        <v>80000</v>
      </c>
    </row>
    <row r="4" spans="1:9" x14ac:dyDescent="0.3">
      <c r="A4" t="s">
        <v>323</v>
      </c>
      <c r="C4" s="43">
        <f>C1*0.021</f>
        <v>58209.073453440011</v>
      </c>
      <c r="D4" s="43" t="s">
        <v>99</v>
      </c>
    </row>
    <row r="5" spans="1:9" x14ac:dyDescent="0.3">
      <c r="A5" t="s">
        <v>324</v>
      </c>
      <c r="C5" s="43">
        <f>C1*(0.0338+0.0073)</f>
        <v>113923.47233030401</v>
      </c>
      <c r="H5" t="s">
        <v>28</v>
      </c>
      <c r="I5">
        <f>I3*0.04</f>
        <v>3200</v>
      </c>
    </row>
    <row r="6" spans="1:9" x14ac:dyDescent="0.3">
      <c r="H6" t="s">
        <v>327</v>
      </c>
      <c r="I6">
        <v>11100</v>
      </c>
    </row>
    <row r="7" spans="1:9" x14ac:dyDescent="0.3">
      <c r="H7" t="s">
        <v>328</v>
      </c>
      <c r="I7">
        <f>I3*0.0112</f>
        <v>896</v>
      </c>
    </row>
    <row r="8" spans="1:9" x14ac:dyDescent="0.3">
      <c r="H8" t="s">
        <v>329</v>
      </c>
      <c r="I8">
        <v>100</v>
      </c>
    </row>
    <row r="9" spans="1:9" x14ac:dyDescent="0.3">
      <c r="H9" t="s">
        <v>24</v>
      </c>
      <c r="I9">
        <f>I3*0.073</f>
        <v>5840</v>
      </c>
    </row>
    <row r="10" spans="1:9" x14ac:dyDescent="0.3">
      <c r="I10">
        <f>SUM(I3:I9)</f>
        <v>101136</v>
      </c>
    </row>
    <row r="17" spans="1:10" hidden="1" x14ac:dyDescent="0.3"/>
    <row r="18" spans="1:10" hidden="1" x14ac:dyDescent="0.3">
      <c r="B18" s="196" t="s">
        <v>219</v>
      </c>
      <c r="C18" s="196"/>
      <c r="D18" s="196"/>
      <c r="E18" t="s">
        <v>8</v>
      </c>
      <c r="F18" t="s">
        <v>8</v>
      </c>
    </row>
    <row r="19" spans="1:10" hidden="1" x14ac:dyDescent="0.3">
      <c r="A19" s="24"/>
      <c r="B19" s="18" t="s">
        <v>368</v>
      </c>
      <c r="C19" s="3" t="s">
        <v>369</v>
      </c>
      <c r="D19" s="3" t="s">
        <v>370</v>
      </c>
      <c r="E19" s="3" t="s">
        <v>369</v>
      </c>
      <c r="F19" s="3" t="s">
        <v>379</v>
      </c>
      <c r="G19" s="42"/>
      <c r="H19" s="42"/>
      <c r="I19" s="42"/>
      <c r="J19" s="42"/>
    </row>
    <row r="20" spans="1:10" hidden="1" x14ac:dyDescent="0.3">
      <c r="A20" s="24" t="s">
        <v>371</v>
      </c>
      <c r="B20" s="167">
        <f>2296.93*2*1.02</f>
        <v>4685.7371999999996</v>
      </c>
      <c r="C20" s="168">
        <f>2205.87*2*1.02</f>
        <v>4499.9748</v>
      </c>
      <c r="D20" s="167">
        <f>20000/12</f>
        <v>1666.6666666666667</v>
      </c>
      <c r="E20" s="168">
        <f>4349.24*1.02</f>
        <v>4436.2248</v>
      </c>
      <c r="F20" s="171">
        <f>19.75*160*1.02</f>
        <v>3223.2000000000003</v>
      </c>
      <c r="G20" s="42"/>
      <c r="H20" s="101"/>
      <c r="I20" s="42"/>
      <c r="J20" s="42"/>
    </row>
    <row r="21" spans="1:10" hidden="1" x14ac:dyDescent="0.3">
      <c r="A21" s="24"/>
      <c r="B21" s="24"/>
      <c r="C21" s="42"/>
      <c r="D21" s="42"/>
      <c r="E21" s="42"/>
      <c r="F21" s="24"/>
      <c r="G21" s="42"/>
      <c r="H21" s="42"/>
      <c r="I21" s="42"/>
      <c r="J21" s="42"/>
    </row>
    <row r="22" spans="1:10" hidden="1" x14ac:dyDescent="0.3">
      <c r="A22" s="24" t="s">
        <v>24</v>
      </c>
      <c r="B22" s="24">
        <f>B20*0.0765</f>
        <v>358.45889579999994</v>
      </c>
      <c r="C22" s="24">
        <f>C20*0.0765</f>
        <v>344.24807219999997</v>
      </c>
      <c r="D22" s="42"/>
      <c r="E22" s="24">
        <f>E20*0.0765</f>
        <v>339.37119719999998</v>
      </c>
      <c r="F22" s="24">
        <v>0</v>
      </c>
      <c r="G22" s="42"/>
      <c r="H22" s="42"/>
      <c r="I22" s="42"/>
      <c r="J22" s="42"/>
    </row>
    <row r="23" spans="1:10" hidden="1" x14ac:dyDescent="0.3">
      <c r="A23" s="24"/>
      <c r="B23" s="24"/>
      <c r="C23" s="42"/>
      <c r="D23" s="42"/>
      <c r="E23" s="42"/>
      <c r="F23" s="24"/>
      <c r="G23" s="42"/>
      <c r="H23" s="42"/>
      <c r="I23" s="42"/>
      <c r="J23" s="42"/>
    </row>
    <row r="24" spans="1:10" hidden="1" x14ac:dyDescent="0.3">
      <c r="A24" s="24" t="s">
        <v>372</v>
      </c>
      <c r="B24" s="24">
        <f>B20*0.03</f>
        <v>140.57211599999999</v>
      </c>
      <c r="C24" s="24">
        <f>C20*0.03</f>
        <v>134.999244</v>
      </c>
      <c r="D24" s="42"/>
      <c r="E24" s="24">
        <f>E20*0.03</f>
        <v>133.08674399999998</v>
      </c>
      <c r="F24" s="24"/>
      <c r="G24" s="42"/>
      <c r="H24" s="42"/>
      <c r="I24" s="42"/>
      <c r="J24" s="42"/>
    </row>
    <row r="25" spans="1:10" hidden="1" x14ac:dyDescent="0.3">
      <c r="A25" s="24"/>
      <c r="B25" s="24"/>
      <c r="C25" s="42"/>
      <c r="D25" s="42"/>
      <c r="E25" s="42"/>
      <c r="F25" s="24"/>
      <c r="G25" s="42"/>
      <c r="H25" s="42"/>
      <c r="I25" s="42"/>
      <c r="J25" s="42"/>
    </row>
    <row r="26" spans="1:10" hidden="1" x14ac:dyDescent="0.3">
      <c r="A26" s="24" t="s">
        <v>373</v>
      </c>
      <c r="B26" s="24">
        <f>B20*0.0112</f>
        <v>52.480256639999993</v>
      </c>
      <c r="C26" s="24">
        <f>C20*0.0112</f>
        <v>50.399717760000001</v>
      </c>
      <c r="D26" s="42"/>
      <c r="E26" s="24">
        <f>E20*0.0112</f>
        <v>49.685717759999996</v>
      </c>
      <c r="F26" s="24"/>
      <c r="G26" s="42"/>
      <c r="H26" s="42"/>
      <c r="I26" s="42"/>
      <c r="J26" s="42"/>
    </row>
    <row r="27" spans="1:10" hidden="1" x14ac:dyDescent="0.3">
      <c r="A27" s="42"/>
      <c r="B27" s="42"/>
      <c r="C27" s="42"/>
      <c r="D27" s="42"/>
      <c r="E27" s="42"/>
      <c r="F27" s="24"/>
      <c r="G27" s="42"/>
      <c r="H27" s="42">
        <f>625*0.29</f>
        <v>181.25</v>
      </c>
      <c r="I27" s="42"/>
      <c r="J27" s="42"/>
    </row>
    <row r="28" spans="1:10" hidden="1" x14ac:dyDescent="0.3">
      <c r="A28" s="42" t="s">
        <v>374</v>
      </c>
      <c r="B28" s="24">
        <f>1.29*624.08</f>
        <v>805.06320000000005</v>
      </c>
      <c r="C28" s="42"/>
      <c r="D28" s="42"/>
      <c r="E28" s="42">
        <f>625*1.29</f>
        <v>806.25</v>
      </c>
      <c r="F28" s="24">
        <f>F20*0.24</f>
        <v>773.56799999999998</v>
      </c>
      <c r="G28" s="42"/>
      <c r="H28" s="42"/>
      <c r="I28" s="42"/>
      <c r="J28" s="42"/>
    </row>
    <row r="29" spans="1:10" hidden="1" x14ac:dyDescent="0.3">
      <c r="A29" s="42"/>
      <c r="B29" s="42"/>
      <c r="C29" s="42"/>
      <c r="D29" s="42"/>
      <c r="E29" s="42"/>
      <c r="F29" s="24"/>
      <c r="G29" s="42"/>
      <c r="H29" s="42"/>
      <c r="I29" s="42"/>
      <c r="J29" s="42"/>
    </row>
    <row r="30" spans="1:10" hidden="1" x14ac:dyDescent="0.3">
      <c r="A30" s="24" t="s">
        <v>375</v>
      </c>
      <c r="B30" s="24">
        <f>B20*0.01373</f>
        <v>64.335171755999994</v>
      </c>
      <c r="C30" s="24">
        <f>C20*0.01373</f>
        <v>61.784654003999997</v>
      </c>
      <c r="D30" s="42"/>
      <c r="E30" s="24">
        <f>E20*0.01373</f>
        <v>60.909366503999998</v>
      </c>
      <c r="F30" s="24"/>
      <c r="G30" s="42"/>
      <c r="H30" s="42"/>
      <c r="I30" s="42"/>
      <c r="J30" s="42"/>
    </row>
    <row r="31" spans="1:10" hidden="1" x14ac:dyDescent="0.3">
      <c r="A31" s="24"/>
      <c r="B31" s="24"/>
      <c r="C31" s="42"/>
      <c r="D31" s="42"/>
      <c r="E31" s="42"/>
      <c r="F31" s="24"/>
      <c r="G31" s="42"/>
      <c r="H31" s="42"/>
      <c r="I31" s="42"/>
      <c r="J31" s="42"/>
    </row>
    <row r="32" spans="1:10" hidden="1" x14ac:dyDescent="0.3">
      <c r="A32" s="24" t="s">
        <v>376</v>
      </c>
      <c r="B32" s="169">
        <f>SUM(B22:B30)</f>
        <v>1420.9096401959998</v>
      </c>
      <c r="C32" s="169">
        <f>SUM(C22:C30)</f>
        <v>591.43168796400005</v>
      </c>
      <c r="D32" s="169">
        <f>SUM(D22:D30)</f>
        <v>0</v>
      </c>
      <c r="E32" s="169">
        <f t="shared" ref="E32:F32" si="0">SUM(E22:E30)</f>
        <v>1389.3030254639998</v>
      </c>
      <c r="F32" s="169">
        <f t="shared" si="0"/>
        <v>773.56799999999998</v>
      </c>
      <c r="G32" s="42"/>
      <c r="H32" s="42"/>
      <c r="I32" s="42"/>
      <c r="J32" s="42"/>
    </row>
    <row r="33" spans="1:10" hidden="1" x14ac:dyDescent="0.3">
      <c r="A33" s="24"/>
      <c r="B33" s="24"/>
      <c r="C33" s="42"/>
      <c r="D33" s="42"/>
      <c r="E33" s="42"/>
      <c r="F33" s="24"/>
      <c r="G33" s="42"/>
      <c r="H33" s="42"/>
      <c r="I33" s="42"/>
      <c r="J33" s="42"/>
    </row>
    <row r="34" spans="1:10" hidden="1" x14ac:dyDescent="0.3">
      <c r="A34" s="24" t="s">
        <v>377</v>
      </c>
      <c r="B34" s="24">
        <f>B32/B20</f>
        <v>0.30324142809289434</v>
      </c>
      <c r="C34" s="24">
        <f>C32/C20</f>
        <v>0.13143000000000002</v>
      </c>
      <c r="D34" s="24">
        <f>D32/D20</f>
        <v>0</v>
      </c>
      <c r="E34" s="24">
        <f t="shared" ref="E34:F34" si="1">E32/E20</f>
        <v>0.31317236797017134</v>
      </c>
      <c r="F34" s="24">
        <f t="shared" si="1"/>
        <v>0.23999999999999996</v>
      </c>
      <c r="G34" s="42"/>
      <c r="H34" s="42"/>
      <c r="I34" s="42"/>
      <c r="J34" s="42"/>
    </row>
    <row r="35" spans="1:10" hidden="1" x14ac:dyDescent="0.3">
      <c r="A35" s="24"/>
      <c r="B35" s="24"/>
      <c r="C35" s="42"/>
      <c r="D35" s="42"/>
      <c r="E35" s="42"/>
      <c r="F35" s="42"/>
      <c r="G35" s="42"/>
      <c r="H35" s="42"/>
      <c r="I35" s="42"/>
      <c r="J35" s="42"/>
    </row>
    <row r="36" spans="1:10" ht="15" hidden="1" thickBot="1" x14ac:dyDescent="0.35">
      <c r="A36" s="24" t="s">
        <v>378</v>
      </c>
      <c r="B36" s="170">
        <f>B32+B20</f>
        <v>6106.6468401959992</v>
      </c>
      <c r="C36" s="170">
        <f>C32+C20</f>
        <v>5091.406487964</v>
      </c>
      <c r="D36" s="170">
        <f>D32+D20</f>
        <v>1666.6666666666667</v>
      </c>
      <c r="E36" s="170">
        <f t="shared" ref="E36:F36" si="2">E32+E20</f>
        <v>5825.5278254639998</v>
      </c>
      <c r="F36" s="170">
        <f t="shared" si="2"/>
        <v>3996.768</v>
      </c>
      <c r="G36" s="42"/>
      <c r="H36" s="42"/>
      <c r="I36" s="42"/>
      <c r="J36" s="42"/>
    </row>
    <row r="37" spans="1:10" ht="15" hidden="1" thickTop="1" x14ac:dyDescent="0.3">
      <c r="A37" s="24"/>
      <c r="B37" s="24"/>
      <c r="C37" s="42"/>
      <c r="D37" s="42"/>
      <c r="E37" s="42"/>
      <c r="F37" s="42"/>
      <c r="G37" s="42"/>
      <c r="H37" s="42"/>
      <c r="I37" s="42"/>
      <c r="J37" s="42"/>
    </row>
    <row r="38" spans="1:10" hidden="1" x14ac:dyDescent="0.3">
      <c r="A38" s="24"/>
      <c r="B38" s="24"/>
      <c r="C38" s="42"/>
      <c r="D38" s="42"/>
      <c r="E38" s="42"/>
      <c r="F38" s="42"/>
      <c r="G38" s="42"/>
      <c r="H38" s="42"/>
      <c r="I38" s="42"/>
      <c r="J38" s="42"/>
    </row>
    <row r="39" spans="1:10" hidden="1" x14ac:dyDescent="0.3">
      <c r="A39" s="24"/>
      <c r="B39" s="24"/>
      <c r="C39" s="42"/>
      <c r="D39" s="42"/>
      <c r="E39" s="42"/>
      <c r="F39" s="42"/>
      <c r="G39" s="42"/>
      <c r="H39" s="42"/>
      <c r="I39" s="42"/>
      <c r="J39" s="42"/>
    </row>
    <row r="40" spans="1:10" hidden="1" x14ac:dyDescent="0.3">
      <c r="A40" s="42"/>
      <c r="B40" s="24">
        <f>B36*0.1</f>
        <v>610.66468401959992</v>
      </c>
      <c r="C40" s="24">
        <f t="shared" ref="C40:D40" si="3">C36*0.1</f>
        <v>509.1406487964</v>
      </c>
      <c r="D40" s="24">
        <f t="shared" si="3"/>
        <v>166.66666666666669</v>
      </c>
      <c r="E40" s="42"/>
      <c r="F40" s="42"/>
      <c r="G40" s="42"/>
      <c r="H40" s="42"/>
      <c r="I40" s="42"/>
      <c r="J40" s="42"/>
    </row>
    <row r="41" spans="1:10" hidden="1" x14ac:dyDescent="0.3">
      <c r="A41" s="42"/>
      <c r="B41" s="42"/>
      <c r="C41" s="42"/>
      <c r="D41" s="42"/>
      <c r="E41" s="42"/>
      <c r="F41" s="42"/>
      <c r="G41" s="42"/>
      <c r="H41" s="42"/>
      <c r="I41" s="42"/>
      <c r="J41" s="42"/>
    </row>
    <row r="42" spans="1:10" hidden="1" x14ac:dyDescent="0.3">
      <c r="A42" s="42"/>
      <c r="B42" s="24">
        <f>D36/2</f>
        <v>833.33333333333337</v>
      </c>
      <c r="C42" s="42">
        <f>D36/2</f>
        <v>833.33333333333337</v>
      </c>
      <c r="D42" s="24">
        <f>D36/2</f>
        <v>833.33333333333337</v>
      </c>
      <c r="E42" s="42"/>
      <c r="F42" s="42"/>
      <c r="G42" s="42"/>
      <c r="H42" s="42"/>
      <c r="I42" s="42"/>
      <c r="J42" s="42"/>
    </row>
    <row r="43" spans="1:10" hidden="1" x14ac:dyDescent="0.3">
      <c r="A43" s="42"/>
      <c r="B43" s="42"/>
      <c r="C43" s="42"/>
      <c r="D43" s="42"/>
      <c r="E43" s="42"/>
      <c r="F43" s="42"/>
      <c r="G43" s="42"/>
      <c r="H43" s="42"/>
      <c r="I43" s="42"/>
      <c r="J43" s="42"/>
    </row>
    <row r="44" spans="1:10" hidden="1" x14ac:dyDescent="0.3">
      <c r="A44" s="42"/>
      <c r="B44" s="24">
        <f>SUM(B36:B42)</f>
        <v>7550.6448575489321</v>
      </c>
      <c r="C44" s="24">
        <f>SUM(C36:C42)</f>
        <v>6433.8804700937335</v>
      </c>
      <c r="D44" s="24">
        <v>0</v>
      </c>
      <c r="E44" s="24">
        <f>SUM(E36:E42)</f>
        <v>5825.5278254639998</v>
      </c>
      <c r="F44" s="24">
        <f>SUM(F36:F42)</f>
        <v>3996.768</v>
      </c>
      <c r="G44" s="42"/>
      <c r="H44" s="42"/>
      <c r="I44" s="42"/>
      <c r="J44" s="42"/>
    </row>
    <row r="45" spans="1:10" hidden="1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</row>
    <row r="46" spans="1:10" hidden="1" x14ac:dyDescent="0.3"/>
    <row r="47" spans="1:10" hidden="1" x14ac:dyDescent="0.3">
      <c r="A47" t="s">
        <v>353</v>
      </c>
      <c r="C47" s="43">
        <f>C44+B44</f>
        <v>13984.525327642667</v>
      </c>
      <c r="E47" s="43">
        <f>E44</f>
        <v>5825.5278254639998</v>
      </c>
      <c r="F47" s="43">
        <f>F44</f>
        <v>3996.768</v>
      </c>
    </row>
    <row r="48" spans="1:10" hidden="1" x14ac:dyDescent="0.3"/>
    <row r="49" spans="1:8" hidden="1" x14ac:dyDescent="0.3">
      <c r="A49">
        <v>2019</v>
      </c>
      <c r="C49" s="43">
        <v>13594</v>
      </c>
      <c r="E49">
        <v>5494</v>
      </c>
      <c r="F49">
        <v>3928</v>
      </c>
    </row>
    <row r="50" spans="1:8" hidden="1" x14ac:dyDescent="0.3"/>
    <row r="51" spans="1:8" hidden="1" x14ac:dyDescent="0.3">
      <c r="C51" s="147">
        <f>C47-C49</f>
        <v>390.52532764266653</v>
      </c>
      <c r="E51" s="147">
        <v>150</v>
      </c>
      <c r="F51" s="147">
        <f>F47-F49</f>
        <v>68.768000000000029</v>
      </c>
      <c r="G51" s="147">
        <f>SUM(C51:F51)</f>
        <v>609.29332764266655</v>
      </c>
      <c r="H51">
        <f>G51*13</f>
        <v>7920.8132593546652</v>
      </c>
    </row>
    <row r="52" spans="1:8" hidden="1" x14ac:dyDescent="0.3">
      <c r="C52" s="147">
        <f>C51*12</f>
        <v>4686.3039317119983</v>
      </c>
      <c r="E52" s="147">
        <f>E51*12</f>
        <v>1800</v>
      </c>
      <c r="F52" s="147">
        <f>F51*12</f>
        <v>825.21600000000035</v>
      </c>
    </row>
    <row r="53" spans="1:8" hidden="1" x14ac:dyDescent="0.3"/>
    <row r="54" spans="1:8" hidden="1" x14ac:dyDescent="0.3">
      <c r="C54" s="147">
        <f>390/2</f>
        <v>195</v>
      </c>
    </row>
  </sheetData>
  <sheetProtection algorithmName="SHA-512" hashValue="5d7ZY/1DodtWHAxXrwdx58uDrnFcE39biZoD6CBUwUmMkWv84hR3VNykV3IYo1ciwFHO2kK42CtcCJWx7p23Ww==" saltValue="HWP/k4fvX7dMs4Dx44HwnA==" spinCount="100000" sheet="1" objects="1" scenarios="1"/>
  <mergeCells count="1">
    <mergeCell ref="B18:D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T111"/>
  <sheetViews>
    <sheetView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D38" sqref="D38:O38"/>
    </sheetView>
  </sheetViews>
  <sheetFormatPr defaultRowHeight="14.4" x14ac:dyDescent="0.3"/>
  <cols>
    <col min="2" max="2" width="20" customWidth="1"/>
    <col min="3" max="3" width="9.5546875" customWidth="1"/>
    <col min="4" max="15" width="9.44140625" bestFit="1" customWidth="1"/>
    <col min="16" max="16" width="9.5546875" bestFit="1" customWidth="1"/>
  </cols>
  <sheetData>
    <row r="1" spans="1:17" x14ac:dyDescent="0.3">
      <c r="C1" t="s">
        <v>192</v>
      </c>
      <c r="D1">
        <v>2</v>
      </c>
      <c r="E1">
        <v>2</v>
      </c>
      <c r="F1">
        <v>2</v>
      </c>
      <c r="G1">
        <v>2</v>
      </c>
      <c r="H1">
        <v>2</v>
      </c>
      <c r="I1">
        <v>2</v>
      </c>
      <c r="J1">
        <v>2</v>
      </c>
      <c r="K1">
        <v>2</v>
      </c>
      <c r="L1">
        <v>2</v>
      </c>
      <c r="M1">
        <v>2</v>
      </c>
      <c r="N1">
        <v>2</v>
      </c>
      <c r="O1">
        <v>2</v>
      </c>
    </row>
    <row r="2" spans="1:17" x14ac:dyDescent="0.3">
      <c r="A2" s="25"/>
      <c r="B2" s="25"/>
      <c r="C2" s="25" t="s">
        <v>191</v>
      </c>
      <c r="D2" s="25">
        <v>3</v>
      </c>
      <c r="E2" s="25">
        <v>3</v>
      </c>
      <c r="F2" s="25">
        <v>3</v>
      </c>
      <c r="G2" s="25">
        <v>3</v>
      </c>
      <c r="H2" s="25">
        <v>3</v>
      </c>
      <c r="I2" s="25">
        <v>3</v>
      </c>
      <c r="J2" s="25">
        <v>3</v>
      </c>
      <c r="K2" s="25">
        <v>3</v>
      </c>
      <c r="L2" s="25">
        <v>3</v>
      </c>
      <c r="M2" s="25">
        <v>3</v>
      </c>
      <c r="N2" s="25">
        <v>3</v>
      </c>
      <c r="O2" s="25">
        <v>3</v>
      </c>
      <c r="P2" s="25"/>
    </row>
    <row r="3" spans="1:17" x14ac:dyDescent="0.3">
      <c r="A3" s="25"/>
      <c r="B3" s="25"/>
      <c r="C3" s="25"/>
      <c r="D3" s="22" t="s">
        <v>100</v>
      </c>
      <c r="E3" s="22" t="s">
        <v>101</v>
      </c>
      <c r="F3" s="22" t="s">
        <v>102</v>
      </c>
      <c r="G3" s="22" t="s">
        <v>103</v>
      </c>
      <c r="H3" s="22" t="s">
        <v>104</v>
      </c>
      <c r="I3" s="22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</row>
    <row r="4" spans="1:17" x14ac:dyDescent="0.3">
      <c r="A4" s="194" t="s">
        <v>99</v>
      </c>
      <c r="B4" s="194"/>
      <c r="C4" s="25" t="s">
        <v>190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x14ac:dyDescent="0.3">
      <c r="A5" s="194" t="s">
        <v>1</v>
      </c>
      <c r="B5" s="194"/>
      <c r="C5" s="25" t="s">
        <v>191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x14ac:dyDescent="0.3">
      <c r="A6" s="26"/>
      <c r="B6" s="94" t="s">
        <v>2</v>
      </c>
      <c r="C6" s="25"/>
      <c r="D6" s="40">
        <f>CADI!M23</f>
        <v>48533.329280821919</v>
      </c>
      <c r="E6" s="40">
        <f>CADI!N23</f>
        <v>43836.555479452065</v>
      </c>
      <c r="F6" s="40">
        <f>CADI!O23</f>
        <v>48533.329280821919</v>
      </c>
      <c r="G6" s="40">
        <f>CADI!P23</f>
        <v>46967.738013698647</v>
      </c>
      <c r="H6" s="40">
        <f>CADI!Q23</f>
        <v>48533.329280821919</v>
      </c>
      <c r="I6" s="40">
        <f>CADI!R23</f>
        <v>46967.738013698647</v>
      </c>
      <c r="J6" s="40">
        <f>CADI!S23</f>
        <v>48533.329280821919</v>
      </c>
      <c r="K6" s="40">
        <f>CADI!T23</f>
        <v>48533.329280821919</v>
      </c>
      <c r="L6" s="40">
        <f>CADI!U23</f>
        <v>46967.738013698647</v>
      </c>
      <c r="M6" s="40">
        <f>CADI!V23</f>
        <v>48533.329280821919</v>
      </c>
      <c r="N6" s="40">
        <f>CADI!W23</f>
        <v>46967.738013698647</v>
      </c>
      <c r="O6" s="40">
        <f>CADI!X23</f>
        <v>48564.286815068495</v>
      </c>
      <c r="P6" s="89">
        <f t="shared" ref="P6:P11" si="0">SUM(D6:O6)</f>
        <v>571471.77003424661</v>
      </c>
    </row>
    <row r="7" spans="1:17" x14ac:dyDescent="0.3">
      <c r="A7" s="26"/>
      <c r="B7" s="94" t="s">
        <v>204</v>
      </c>
      <c r="C7" s="25"/>
      <c r="D7" s="43">
        <f>D1*15.87*31</f>
        <v>983.93999999999994</v>
      </c>
      <c r="E7" s="43">
        <f>E1*15.87*28</f>
        <v>888.71999999999991</v>
      </c>
      <c r="F7" s="43">
        <f>F1*15.87*31</f>
        <v>983.93999999999994</v>
      </c>
      <c r="G7" s="43">
        <f>G1*15.87*30</f>
        <v>952.19999999999993</v>
      </c>
      <c r="H7" s="43">
        <f>H1*15.87*31</f>
        <v>983.93999999999994</v>
      </c>
      <c r="I7" s="43">
        <f>I1*15.87*30</f>
        <v>952.19999999999993</v>
      </c>
      <c r="J7" s="43">
        <f t="shared" ref="J7:O7" si="1">J1*15.87*31</f>
        <v>983.93999999999994</v>
      </c>
      <c r="K7" s="43">
        <f t="shared" si="1"/>
        <v>983.93999999999994</v>
      </c>
      <c r="L7" s="43">
        <f>L1*15.87*30</f>
        <v>952.19999999999993</v>
      </c>
      <c r="M7" s="43">
        <f t="shared" si="1"/>
        <v>983.93999999999994</v>
      </c>
      <c r="N7" s="43">
        <f>N1*15.87*30</f>
        <v>952.19999999999993</v>
      </c>
      <c r="O7" s="43">
        <f t="shared" si="1"/>
        <v>983.93999999999994</v>
      </c>
      <c r="P7" s="89">
        <f t="shared" si="0"/>
        <v>11585.1</v>
      </c>
      <c r="Q7" s="42"/>
    </row>
    <row r="8" spans="1:17" s="42" customFormat="1" x14ac:dyDescent="0.3">
      <c r="A8" s="26"/>
      <c r="B8" s="94" t="s">
        <v>205</v>
      </c>
      <c r="C8" s="43"/>
      <c r="D8" s="43">
        <f>D2*45</f>
        <v>135</v>
      </c>
      <c r="E8" s="43">
        <f t="shared" ref="E8:O8" si="2">E2*45</f>
        <v>135</v>
      </c>
      <c r="F8" s="43">
        <f t="shared" si="2"/>
        <v>135</v>
      </c>
      <c r="G8" s="43">
        <f t="shared" si="2"/>
        <v>135</v>
      </c>
      <c r="H8" s="43">
        <f t="shared" si="2"/>
        <v>135</v>
      </c>
      <c r="I8" s="43">
        <f t="shared" si="2"/>
        <v>135</v>
      </c>
      <c r="J8" s="43">
        <f t="shared" si="2"/>
        <v>135</v>
      </c>
      <c r="K8" s="43">
        <f t="shared" si="2"/>
        <v>135</v>
      </c>
      <c r="L8" s="43">
        <f t="shared" si="2"/>
        <v>135</v>
      </c>
      <c r="M8" s="43">
        <f t="shared" si="2"/>
        <v>135</v>
      </c>
      <c r="N8" s="43">
        <f t="shared" si="2"/>
        <v>135</v>
      </c>
      <c r="O8" s="43">
        <f t="shared" si="2"/>
        <v>135</v>
      </c>
      <c r="P8" s="89">
        <f t="shared" si="0"/>
        <v>1620</v>
      </c>
    </row>
    <row r="9" spans="1:17" x14ac:dyDescent="0.3">
      <c r="A9" s="26"/>
      <c r="B9" s="94" t="s">
        <v>4</v>
      </c>
      <c r="C9" s="25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89">
        <f t="shared" si="0"/>
        <v>0</v>
      </c>
    </row>
    <row r="10" spans="1:17" s="42" customFormat="1" x14ac:dyDescent="0.3">
      <c r="A10" s="26"/>
      <c r="B10" s="94" t="s">
        <v>206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89">
        <f t="shared" si="0"/>
        <v>0</v>
      </c>
    </row>
    <row r="11" spans="1:17" x14ac:dyDescent="0.3">
      <c r="A11" s="26"/>
      <c r="B11" s="94" t="s">
        <v>207</v>
      </c>
      <c r="C11" s="25"/>
      <c r="D11" s="43"/>
      <c r="E11" s="43"/>
      <c r="F11" s="43"/>
      <c r="G11" s="43"/>
      <c r="H11" s="43"/>
      <c r="I11" s="43"/>
      <c r="J11" s="25"/>
      <c r="K11" s="25"/>
      <c r="L11" s="25"/>
      <c r="M11" s="25"/>
      <c r="N11" s="25"/>
      <c r="O11" s="25"/>
      <c r="P11" s="89">
        <f t="shared" si="0"/>
        <v>0</v>
      </c>
    </row>
    <row r="12" spans="1:17" x14ac:dyDescent="0.3">
      <c r="A12" s="194" t="s">
        <v>6</v>
      </c>
      <c r="B12" s="194"/>
      <c r="C12" s="25"/>
      <c r="D12" s="28">
        <f t="shared" ref="D12:I12" si="3">SUM(D6:D11)</f>
        <v>49652.269280821922</v>
      </c>
      <c r="E12" s="28">
        <f t="shared" si="3"/>
        <v>44860.275479452066</v>
      </c>
      <c r="F12" s="28">
        <f t="shared" si="3"/>
        <v>49652.269280821922</v>
      </c>
      <c r="G12" s="28">
        <f t="shared" si="3"/>
        <v>48054.938013698644</v>
      </c>
      <c r="H12" s="28">
        <f t="shared" si="3"/>
        <v>49652.269280821922</v>
      </c>
      <c r="I12" s="28">
        <f t="shared" si="3"/>
        <v>48054.938013698644</v>
      </c>
      <c r="J12" s="28">
        <f t="shared" ref="J12:P12" si="4">SUM(J6:J11)</f>
        <v>49652.269280821922</v>
      </c>
      <c r="K12" s="28">
        <f t="shared" si="4"/>
        <v>49652.269280821922</v>
      </c>
      <c r="L12" s="28">
        <f t="shared" si="4"/>
        <v>48054.938013698644</v>
      </c>
      <c r="M12" s="28">
        <f t="shared" si="4"/>
        <v>49652.269280821922</v>
      </c>
      <c r="N12" s="28">
        <f t="shared" si="4"/>
        <v>48054.938013698644</v>
      </c>
      <c r="O12" s="28">
        <f t="shared" si="4"/>
        <v>49683.226815068498</v>
      </c>
      <c r="P12" s="28">
        <f t="shared" si="4"/>
        <v>584676.87003424659</v>
      </c>
    </row>
    <row r="13" spans="1:17" x14ac:dyDescent="0.3">
      <c r="A13" s="194" t="s">
        <v>7</v>
      </c>
      <c r="B13" s="194"/>
      <c r="C13" s="25"/>
      <c r="D13" s="43"/>
      <c r="E13" s="43"/>
      <c r="F13" s="43"/>
      <c r="G13" s="43"/>
      <c r="H13" s="43"/>
      <c r="I13" s="43"/>
      <c r="J13" s="25"/>
      <c r="K13" s="25"/>
      <c r="L13" s="25"/>
      <c r="M13" s="25"/>
      <c r="N13" s="25"/>
      <c r="O13" s="25"/>
      <c r="P13" s="25"/>
    </row>
    <row r="14" spans="1:17" x14ac:dyDescent="0.3">
      <c r="A14" s="26"/>
      <c r="B14" s="97" t="s">
        <v>8</v>
      </c>
      <c r="C14" s="25"/>
      <c r="D14" s="43">
        <v>11691</v>
      </c>
      <c r="E14" s="43">
        <v>11691</v>
      </c>
      <c r="F14" s="43">
        <v>11691</v>
      </c>
      <c r="G14" s="43">
        <v>11691</v>
      </c>
      <c r="H14" s="43">
        <v>11691</v>
      </c>
      <c r="I14" s="43">
        <v>11691</v>
      </c>
      <c r="J14" s="43">
        <v>11691</v>
      </c>
      <c r="K14" s="43">
        <v>11691</v>
      </c>
      <c r="L14" s="43">
        <v>11691</v>
      </c>
      <c r="M14" s="43">
        <v>11691</v>
      </c>
      <c r="N14" s="43">
        <v>11691</v>
      </c>
      <c r="O14" s="43">
        <v>11691</v>
      </c>
      <c r="P14" s="25">
        <f>SUM(D14:O14)</f>
        <v>140292</v>
      </c>
    </row>
    <row r="15" spans="1:17" x14ac:dyDescent="0.3">
      <c r="A15" s="26"/>
      <c r="B15" s="97" t="s">
        <v>9</v>
      </c>
      <c r="C15" s="25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25">
        <f>SUM(D15:O15)</f>
        <v>0</v>
      </c>
    </row>
    <row r="16" spans="1:17" x14ac:dyDescent="0.3">
      <c r="A16" s="26"/>
      <c r="B16" s="97" t="s">
        <v>219</v>
      </c>
      <c r="C16" s="25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25">
        <f>SUM(D16:O16)</f>
        <v>0</v>
      </c>
    </row>
    <row r="17" spans="1:16" x14ac:dyDescent="0.3">
      <c r="A17" s="26"/>
      <c r="B17" s="66" t="s">
        <v>16</v>
      </c>
      <c r="C17" s="25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25">
        <f>SUM(D17:O17)</f>
        <v>0</v>
      </c>
    </row>
    <row r="18" spans="1:16" x14ac:dyDescent="0.3">
      <c r="A18" s="194" t="s">
        <v>10</v>
      </c>
      <c r="B18" s="194"/>
      <c r="C18" s="25"/>
      <c r="D18" s="28">
        <f t="shared" ref="D18:I18" si="5">SUM(D14:D17)</f>
        <v>11691</v>
      </c>
      <c r="E18" s="28">
        <f t="shared" si="5"/>
        <v>11691</v>
      </c>
      <c r="F18" s="28">
        <f t="shared" si="5"/>
        <v>11691</v>
      </c>
      <c r="G18" s="28">
        <f t="shared" si="5"/>
        <v>11691</v>
      </c>
      <c r="H18" s="28">
        <f t="shared" si="5"/>
        <v>11691</v>
      </c>
      <c r="I18" s="28">
        <f t="shared" si="5"/>
        <v>11691</v>
      </c>
      <c r="J18" s="28">
        <f t="shared" ref="J18:P18" si="6">SUM(J14:J17)</f>
        <v>11691</v>
      </c>
      <c r="K18" s="28">
        <f t="shared" si="6"/>
        <v>11691</v>
      </c>
      <c r="L18" s="28">
        <f t="shared" si="6"/>
        <v>11691</v>
      </c>
      <c r="M18" s="28">
        <f t="shared" si="6"/>
        <v>11691</v>
      </c>
      <c r="N18" s="28">
        <f t="shared" si="6"/>
        <v>11691</v>
      </c>
      <c r="O18" s="28">
        <f t="shared" si="6"/>
        <v>11691</v>
      </c>
      <c r="P18" s="28">
        <f t="shared" si="6"/>
        <v>140292</v>
      </c>
    </row>
    <row r="19" spans="1:16" x14ac:dyDescent="0.3">
      <c r="A19" s="194" t="s">
        <v>11</v>
      </c>
      <c r="B19" s="194"/>
      <c r="C19" s="25"/>
      <c r="D19" s="43"/>
      <c r="E19" s="43"/>
      <c r="F19" s="43"/>
      <c r="G19" s="43"/>
      <c r="H19" s="43"/>
      <c r="I19" s="43"/>
      <c r="J19" s="25"/>
      <c r="K19" s="25"/>
      <c r="L19" s="25"/>
      <c r="M19" s="25"/>
      <c r="N19" s="25"/>
      <c r="O19" s="25"/>
      <c r="P19" s="25"/>
    </row>
    <row r="20" spans="1:16" x14ac:dyDescent="0.3">
      <c r="A20" s="26"/>
      <c r="B20" s="27" t="s">
        <v>12</v>
      </c>
      <c r="C20" s="25"/>
      <c r="D20" s="43"/>
      <c r="E20" s="43"/>
      <c r="F20" s="43"/>
      <c r="G20" s="43"/>
      <c r="H20" s="43"/>
      <c r="I20" s="43"/>
      <c r="J20" s="25"/>
      <c r="K20" s="25"/>
      <c r="L20" s="25"/>
      <c r="M20" s="25"/>
      <c r="N20" s="25"/>
      <c r="O20" s="25"/>
      <c r="P20" s="25">
        <f t="shared" ref="P20:P25" si="7">SUM(D20:O20)</f>
        <v>0</v>
      </c>
    </row>
    <row r="21" spans="1:16" x14ac:dyDescent="0.3">
      <c r="A21" s="26"/>
      <c r="B21" s="27" t="s">
        <v>96</v>
      </c>
      <c r="C21" s="25"/>
      <c r="D21" s="43"/>
      <c r="E21" s="43"/>
      <c r="F21" s="43"/>
      <c r="G21" s="43"/>
      <c r="H21" s="43"/>
      <c r="I21" s="43"/>
      <c r="J21" s="25"/>
      <c r="K21" s="25"/>
      <c r="L21" s="25"/>
      <c r="M21" s="25"/>
      <c r="N21" s="25"/>
      <c r="O21" s="25"/>
      <c r="P21" s="25">
        <f t="shared" si="7"/>
        <v>0</v>
      </c>
    </row>
    <row r="22" spans="1:16" x14ac:dyDescent="0.3">
      <c r="A22" s="26"/>
      <c r="B22" s="27" t="s">
        <v>97</v>
      </c>
      <c r="C22" s="25"/>
      <c r="D22" s="43"/>
      <c r="E22" s="43"/>
      <c r="F22" s="43"/>
      <c r="G22" s="43"/>
      <c r="H22" s="43"/>
      <c r="I22" s="43"/>
      <c r="J22" s="25"/>
      <c r="K22" s="25"/>
      <c r="L22" s="25"/>
      <c r="M22" s="25"/>
      <c r="N22" s="25"/>
      <c r="O22" s="25"/>
      <c r="P22" s="25">
        <f t="shared" si="7"/>
        <v>0</v>
      </c>
    </row>
    <row r="23" spans="1:16" x14ac:dyDescent="0.3">
      <c r="A23" s="26"/>
      <c r="B23" s="27" t="s">
        <v>13</v>
      </c>
      <c r="C23" s="25"/>
      <c r="D23" s="43"/>
      <c r="E23" s="43"/>
      <c r="F23" s="43"/>
      <c r="G23" s="43"/>
      <c r="H23" s="43"/>
      <c r="I23" s="43"/>
      <c r="J23" s="25"/>
      <c r="K23" s="25"/>
      <c r="L23" s="25"/>
      <c r="M23" s="25"/>
      <c r="N23" s="25"/>
      <c r="O23" s="25"/>
      <c r="P23" s="25">
        <f t="shared" si="7"/>
        <v>0</v>
      </c>
    </row>
    <row r="24" spans="1:16" x14ac:dyDescent="0.3">
      <c r="A24" s="26"/>
      <c r="B24" s="27" t="s">
        <v>14</v>
      </c>
      <c r="C24" s="25"/>
      <c r="D24" s="43"/>
      <c r="E24" s="43"/>
      <c r="F24" s="43"/>
      <c r="G24" s="43"/>
      <c r="H24" s="43"/>
      <c r="I24" s="43"/>
      <c r="J24" s="25"/>
      <c r="K24" s="25"/>
      <c r="L24" s="25"/>
      <c r="M24" s="25"/>
      <c r="N24" s="25"/>
      <c r="O24" s="25"/>
      <c r="P24" s="25">
        <f t="shared" si="7"/>
        <v>0</v>
      </c>
    </row>
    <row r="25" spans="1:16" x14ac:dyDescent="0.3">
      <c r="A25" s="26"/>
      <c r="B25" s="26"/>
      <c r="C25" s="25"/>
      <c r="D25" s="43"/>
      <c r="E25" s="43"/>
      <c r="F25" s="43"/>
      <c r="G25" s="43"/>
      <c r="H25" s="43"/>
      <c r="I25" s="43"/>
      <c r="J25" s="25"/>
      <c r="K25" s="25"/>
      <c r="L25" s="25"/>
      <c r="M25" s="25"/>
      <c r="N25" s="25"/>
      <c r="O25" s="25"/>
      <c r="P25" s="25">
        <f t="shared" si="7"/>
        <v>0</v>
      </c>
    </row>
    <row r="26" spans="1:16" x14ac:dyDescent="0.3">
      <c r="A26" s="194" t="s">
        <v>15</v>
      </c>
      <c r="B26" s="194"/>
      <c r="C26" s="25"/>
      <c r="D26" s="28">
        <f t="shared" ref="D26:I26" si="8">SUM(D20:D25)</f>
        <v>0</v>
      </c>
      <c r="E26" s="28">
        <f t="shared" si="8"/>
        <v>0</v>
      </c>
      <c r="F26" s="28">
        <f t="shared" si="8"/>
        <v>0</v>
      </c>
      <c r="G26" s="28">
        <f t="shared" si="8"/>
        <v>0</v>
      </c>
      <c r="H26" s="28">
        <f t="shared" si="8"/>
        <v>0</v>
      </c>
      <c r="I26" s="28">
        <f t="shared" si="8"/>
        <v>0</v>
      </c>
      <c r="J26" s="28">
        <f t="shared" ref="J26:P26" si="9">SUM(J20:J25)</f>
        <v>0</v>
      </c>
      <c r="K26" s="28">
        <f t="shared" si="9"/>
        <v>0</v>
      </c>
      <c r="L26" s="28">
        <f t="shared" si="9"/>
        <v>0</v>
      </c>
      <c r="M26" s="28">
        <f t="shared" si="9"/>
        <v>0</v>
      </c>
      <c r="N26" s="28">
        <f t="shared" si="9"/>
        <v>0</v>
      </c>
      <c r="O26" s="28">
        <f t="shared" si="9"/>
        <v>0</v>
      </c>
      <c r="P26" s="28">
        <f t="shared" si="9"/>
        <v>0</v>
      </c>
    </row>
    <row r="27" spans="1:16" x14ac:dyDescent="0.3">
      <c r="A27" s="194" t="s">
        <v>16</v>
      </c>
      <c r="B27" s="194"/>
      <c r="C27" s="25"/>
      <c r="D27" s="43"/>
      <c r="E27" s="43"/>
      <c r="F27" s="43"/>
      <c r="G27" s="43"/>
      <c r="H27" s="43"/>
      <c r="I27" s="43"/>
      <c r="J27" s="25"/>
      <c r="K27" s="25"/>
      <c r="L27" s="25"/>
      <c r="M27" s="25"/>
      <c r="N27" s="25"/>
      <c r="O27" s="25"/>
      <c r="P27" s="25"/>
    </row>
    <row r="28" spans="1:16" x14ac:dyDescent="0.3">
      <c r="A28" s="27" t="s">
        <v>17</v>
      </c>
      <c r="B28" s="27" t="s">
        <v>18</v>
      </c>
      <c r="C28" s="25"/>
      <c r="D28" s="43"/>
      <c r="E28" s="43"/>
      <c r="F28" s="43"/>
      <c r="G28" s="43"/>
      <c r="H28" s="43"/>
      <c r="I28" s="43"/>
      <c r="J28" s="25"/>
      <c r="K28" s="25"/>
      <c r="L28" s="25"/>
      <c r="M28" s="25"/>
      <c r="N28" s="25"/>
      <c r="O28" s="43">
        <f>7579*1.03*1.03</f>
        <v>8040.5610999999999</v>
      </c>
      <c r="P28" s="25">
        <f>SUM(D28:O28)</f>
        <v>8040.5610999999999</v>
      </c>
    </row>
    <row r="29" spans="1:16" x14ac:dyDescent="0.3">
      <c r="A29" s="27" t="s">
        <v>17</v>
      </c>
      <c r="B29" s="27" t="s">
        <v>19</v>
      </c>
      <c r="C29" s="25"/>
      <c r="D29" s="43"/>
      <c r="E29" s="43"/>
      <c r="F29" s="43"/>
      <c r="G29" s="43"/>
      <c r="H29" s="43"/>
      <c r="I29" s="43"/>
      <c r="J29" s="25"/>
      <c r="K29" s="25"/>
      <c r="L29" s="25"/>
      <c r="M29" s="25"/>
      <c r="N29" s="25"/>
      <c r="O29" s="25"/>
      <c r="P29" s="25">
        <f>SUM(D29:O29)</f>
        <v>0</v>
      </c>
    </row>
    <row r="30" spans="1:16" x14ac:dyDescent="0.3">
      <c r="A30" s="27" t="s">
        <v>17</v>
      </c>
      <c r="B30" s="27" t="s">
        <v>20</v>
      </c>
      <c r="C30" s="25"/>
      <c r="D30" s="43"/>
      <c r="E30" s="43"/>
      <c r="F30" s="43"/>
      <c r="G30" s="43"/>
      <c r="H30" s="43"/>
      <c r="I30" s="43"/>
      <c r="J30" s="25"/>
      <c r="K30" s="25"/>
      <c r="L30" s="25"/>
      <c r="M30" s="25"/>
      <c r="N30" s="25"/>
      <c r="O30" s="25"/>
      <c r="P30" s="25">
        <f>SUM(D30:O30)</f>
        <v>0</v>
      </c>
    </row>
    <row r="31" spans="1:16" x14ac:dyDescent="0.3">
      <c r="A31" s="27" t="s">
        <v>17</v>
      </c>
      <c r="B31" s="27" t="s">
        <v>21</v>
      </c>
      <c r="C31" s="25"/>
      <c r="D31" s="43"/>
      <c r="E31" s="43"/>
      <c r="F31" s="43"/>
      <c r="G31" s="43"/>
      <c r="H31" s="43"/>
      <c r="I31" s="43"/>
      <c r="J31" s="25"/>
      <c r="K31" s="25"/>
      <c r="L31" s="25"/>
      <c r="M31" s="25"/>
      <c r="N31" s="25"/>
      <c r="O31" s="25"/>
      <c r="P31" s="25">
        <f>SUM(D31:O31)</f>
        <v>0</v>
      </c>
    </row>
    <row r="32" spans="1:16" x14ac:dyDescent="0.3">
      <c r="A32" s="26"/>
      <c r="B32" s="26"/>
      <c r="C32" s="25"/>
      <c r="D32" s="30">
        <f t="shared" ref="D32:I32" si="10">D12+D18+D26+D28+D29+D30+D31</f>
        <v>61343.269280821922</v>
      </c>
      <c r="E32" s="30">
        <f t="shared" si="10"/>
        <v>56551.275479452066</v>
      </c>
      <c r="F32" s="30">
        <f t="shared" si="10"/>
        <v>61343.269280821922</v>
      </c>
      <c r="G32" s="30">
        <f t="shared" si="10"/>
        <v>59745.938013698644</v>
      </c>
      <c r="H32" s="30">
        <f t="shared" si="10"/>
        <v>61343.269280821922</v>
      </c>
      <c r="I32" s="30">
        <f t="shared" si="10"/>
        <v>59745.938013698644</v>
      </c>
      <c r="J32" s="30">
        <f t="shared" ref="J32:P32" si="11">J12+J18+J26+J28+J29+J30+J31</f>
        <v>61343.269280821922</v>
      </c>
      <c r="K32" s="30">
        <f t="shared" si="11"/>
        <v>61343.269280821922</v>
      </c>
      <c r="L32" s="30">
        <f t="shared" si="11"/>
        <v>59745.938013698644</v>
      </c>
      <c r="M32" s="30">
        <f t="shared" si="11"/>
        <v>61343.269280821922</v>
      </c>
      <c r="N32" s="30">
        <f t="shared" si="11"/>
        <v>59745.938013698644</v>
      </c>
      <c r="O32" s="30">
        <f t="shared" si="11"/>
        <v>69414.787915068504</v>
      </c>
      <c r="P32" s="30">
        <f t="shared" si="11"/>
        <v>733009.43113424664</v>
      </c>
    </row>
    <row r="33" spans="1:16" x14ac:dyDescent="0.3">
      <c r="A33" s="26"/>
      <c r="B33" s="26"/>
      <c r="C33" s="25"/>
      <c r="D33" s="43"/>
      <c r="E33" s="43"/>
      <c r="F33" s="43"/>
      <c r="G33" s="43"/>
      <c r="H33" s="43"/>
      <c r="I33" s="43"/>
      <c r="J33" s="25"/>
      <c r="K33" s="25"/>
      <c r="L33" s="25"/>
      <c r="M33" s="25"/>
      <c r="N33" s="25"/>
      <c r="O33" s="25"/>
      <c r="P33" s="25"/>
    </row>
    <row r="34" spans="1:16" x14ac:dyDescent="0.3">
      <c r="A34" s="194" t="s">
        <v>22</v>
      </c>
      <c r="B34" s="194"/>
      <c r="C34" s="25"/>
      <c r="D34" s="43"/>
      <c r="E34" s="43"/>
      <c r="F34" s="43"/>
      <c r="G34" s="43"/>
      <c r="H34" s="43"/>
      <c r="I34" s="43"/>
      <c r="J34" s="25"/>
      <c r="K34" s="25"/>
      <c r="L34" s="25"/>
      <c r="M34" s="25"/>
      <c r="N34" s="25"/>
      <c r="O34" s="25"/>
      <c r="P34" s="25"/>
    </row>
    <row r="35" spans="1:16" x14ac:dyDescent="0.3">
      <c r="A35" s="26"/>
      <c r="B35" s="27" t="s">
        <v>23</v>
      </c>
      <c r="C35" s="25"/>
      <c r="D35" s="43">
        <f>Sheet22!I40</f>
        <v>32593.814399999996</v>
      </c>
      <c r="E35" s="43">
        <f>Sheet22!J40</f>
        <v>32593.814399999996</v>
      </c>
      <c r="F35" s="43">
        <f>Sheet22!K40</f>
        <v>48890.721600000004</v>
      </c>
      <c r="G35" s="43">
        <f>Sheet22!L40</f>
        <v>32593.814399999996</v>
      </c>
      <c r="H35" s="43">
        <f>Sheet22!M40</f>
        <v>32593.814399999996</v>
      </c>
      <c r="I35" s="43">
        <f>Sheet22!N40</f>
        <v>32593.814399999996</v>
      </c>
      <c r="J35" s="43">
        <f>Sheet22!O40</f>
        <v>32593.814399999996</v>
      </c>
      <c r="K35" s="43">
        <f>Sheet22!P40</f>
        <v>48890.721600000004</v>
      </c>
      <c r="L35" s="43">
        <f>Sheet22!Q40</f>
        <v>32593.814399999996</v>
      </c>
      <c r="M35" s="43">
        <f>Sheet22!R40</f>
        <v>32593.814399999996</v>
      </c>
      <c r="N35" s="43">
        <f>Sheet22!S40</f>
        <v>32593.814399999996</v>
      </c>
      <c r="O35" s="43">
        <f>Sheet22!T40</f>
        <v>32593.814399999996</v>
      </c>
      <c r="P35" s="43">
        <f t="shared" ref="P35:P42" si="12">SUM(D35:O35)</f>
        <v>423719.58719999989</v>
      </c>
    </row>
    <row r="36" spans="1:16" x14ac:dyDescent="0.3">
      <c r="A36" s="26"/>
      <c r="B36" s="27" t="s">
        <v>24</v>
      </c>
      <c r="C36" s="25"/>
      <c r="D36" s="43">
        <f>D35*0.0735</f>
        <v>2395.6453583999996</v>
      </c>
      <c r="E36" s="43">
        <f t="shared" ref="E36:O36" si="13">E35*0.0735</f>
        <v>2395.6453583999996</v>
      </c>
      <c r="F36" s="43">
        <f t="shared" si="13"/>
        <v>3593.4680376000001</v>
      </c>
      <c r="G36" s="43">
        <f t="shared" si="13"/>
        <v>2395.6453583999996</v>
      </c>
      <c r="H36" s="43">
        <f t="shared" si="13"/>
        <v>2395.6453583999996</v>
      </c>
      <c r="I36" s="43">
        <f t="shared" si="13"/>
        <v>2395.6453583999996</v>
      </c>
      <c r="J36" s="43">
        <f t="shared" si="13"/>
        <v>2395.6453583999996</v>
      </c>
      <c r="K36" s="43">
        <f t="shared" si="13"/>
        <v>3593.4680376000001</v>
      </c>
      <c r="L36" s="43">
        <f t="shared" si="13"/>
        <v>2395.6453583999996</v>
      </c>
      <c r="M36" s="43">
        <f t="shared" si="13"/>
        <v>2395.6453583999996</v>
      </c>
      <c r="N36" s="43">
        <f t="shared" si="13"/>
        <v>2395.6453583999996</v>
      </c>
      <c r="O36" s="43">
        <f t="shared" si="13"/>
        <v>2395.6453583999996</v>
      </c>
      <c r="P36" s="43">
        <f t="shared" si="12"/>
        <v>31143.389659200002</v>
      </c>
    </row>
    <row r="37" spans="1:16" x14ac:dyDescent="0.3">
      <c r="A37" s="26"/>
      <c r="B37" s="27" t="s">
        <v>25</v>
      </c>
      <c r="C37" s="25"/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f t="shared" si="12"/>
        <v>0</v>
      </c>
    </row>
    <row r="38" spans="1:16" x14ac:dyDescent="0.3">
      <c r="A38" s="26"/>
      <c r="B38" s="27" t="s">
        <v>26</v>
      </c>
      <c r="C38" s="25"/>
      <c r="D38" s="43">
        <f>D35*0.12042</f>
        <v>3924.9471300479995</v>
      </c>
      <c r="E38" s="43">
        <f>E35*0.120421</f>
        <v>3924.9797238623996</v>
      </c>
      <c r="F38" s="43">
        <f t="shared" ref="E38:O38" si="14">F35*0.120421</f>
        <v>5887.4695857936003</v>
      </c>
      <c r="G38" s="43">
        <f t="shared" si="14"/>
        <v>3924.9797238623996</v>
      </c>
      <c r="H38" s="43">
        <f t="shared" si="14"/>
        <v>3924.9797238623996</v>
      </c>
      <c r="I38" s="43">
        <f t="shared" si="14"/>
        <v>3924.9797238623996</v>
      </c>
      <c r="J38" s="43">
        <f t="shared" si="14"/>
        <v>3924.9797238623996</v>
      </c>
      <c r="K38" s="43">
        <f t="shared" si="14"/>
        <v>5887.4695857936003</v>
      </c>
      <c r="L38" s="43">
        <f t="shared" si="14"/>
        <v>3924.9797238623996</v>
      </c>
      <c r="M38" s="43">
        <f t="shared" si="14"/>
        <v>3924.9797238623996</v>
      </c>
      <c r="N38" s="43">
        <f t="shared" si="14"/>
        <v>3924.9797238623996</v>
      </c>
      <c r="O38" s="43">
        <f t="shared" si="14"/>
        <v>3924.9797238623996</v>
      </c>
      <c r="P38" s="43">
        <f t="shared" si="12"/>
        <v>51024.70381639681</v>
      </c>
    </row>
    <row r="39" spans="1:16" x14ac:dyDescent="0.3">
      <c r="A39" s="26"/>
      <c r="B39" s="27" t="s">
        <v>27</v>
      </c>
      <c r="C39" s="25"/>
      <c r="D39" s="43">
        <f>D35*0.0112</f>
        <v>365.05072127999995</v>
      </c>
      <c r="E39" s="43">
        <f t="shared" ref="E39:O39" si="15">E35*0.0112</f>
        <v>365.05072127999995</v>
      </c>
      <c r="F39" s="43">
        <f t="shared" si="15"/>
        <v>547.57608192000009</v>
      </c>
      <c r="G39" s="43">
        <f t="shared" si="15"/>
        <v>365.05072127999995</v>
      </c>
      <c r="H39" s="43">
        <f t="shared" si="15"/>
        <v>365.05072127999995</v>
      </c>
      <c r="I39" s="43">
        <f t="shared" si="15"/>
        <v>365.05072127999995</v>
      </c>
      <c r="J39" s="43">
        <f t="shared" si="15"/>
        <v>365.05072127999995</v>
      </c>
      <c r="K39" s="43">
        <f t="shared" si="15"/>
        <v>547.57608192000009</v>
      </c>
      <c r="L39" s="43">
        <f t="shared" si="15"/>
        <v>365.05072127999995</v>
      </c>
      <c r="M39" s="43">
        <f t="shared" si="15"/>
        <v>365.05072127999995</v>
      </c>
      <c r="N39" s="43">
        <f t="shared" si="15"/>
        <v>365.05072127999995</v>
      </c>
      <c r="O39" s="43">
        <f t="shared" si="15"/>
        <v>365.05072127999995</v>
      </c>
      <c r="P39" s="43">
        <f t="shared" si="12"/>
        <v>4745.6593766399992</v>
      </c>
    </row>
    <row r="40" spans="1:16" x14ac:dyDescent="0.3">
      <c r="A40" s="26"/>
      <c r="B40" s="27" t="s">
        <v>28</v>
      </c>
      <c r="C40" s="25"/>
      <c r="D40" s="43">
        <f>D35*0.028</f>
        <v>912.62680319999993</v>
      </c>
      <c r="E40" s="43">
        <f t="shared" ref="E40:O40" si="16">E35*0.028</f>
        <v>912.62680319999993</v>
      </c>
      <c r="F40" s="43">
        <f t="shared" si="16"/>
        <v>1368.9402048000002</v>
      </c>
      <c r="G40" s="43">
        <f t="shared" si="16"/>
        <v>912.62680319999993</v>
      </c>
      <c r="H40" s="43">
        <f t="shared" si="16"/>
        <v>912.62680319999993</v>
      </c>
      <c r="I40" s="43">
        <f t="shared" si="16"/>
        <v>912.62680319999993</v>
      </c>
      <c r="J40" s="43">
        <f t="shared" si="16"/>
        <v>912.62680319999993</v>
      </c>
      <c r="K40" s="43">
        <f t="shared" si="16"/>
        <v>1368.9402048000002</v>
      </c>
      <c r="L40" s="43">
        <f t="shared" si="16"/>
        <v>912.62680319999993</v>
      </c>
      <c r="M40" s="43">
        <f t="shared" si="16"/>
        <v>912.62680319999993</v>
      </c>
      <c r="N40" s="43">
        <f t="shared" si="16"/>
        <v>912.62680319999993</v>
      </c>
      <c r="O40" s="43">
        <f t="shared" si="16"/>
        <v>912.62680319999993</v>
      </c>
      <c r="P40" s="25">
        <f t="shared" si="12"/>
        <v>11864.148441600002</v>
      </c>
    </row>
    <row r="41" spans="1:16" x14ac:dyDescent="0.3">
      <c r="A41" s="26"/>
      <c r="B41" s="27" t="s">
        <v>29</v>
      </c>
      <c r="C41" s="25"/>
      <c r="D41" s="43">
        <f>D35*0.01373</f>
        <v>447.51307171199988</v>
      </c>
      <c r="E41" s="43">
        <f t="shared" ref="E41:O41" si="17">E35*0.01373</f>
        <v>447.51307171199988</v>
      </c>
      <c r="F41" s="43">
        <f t="shared" si="17"/>
        <v>671.26960756799997</v>
      </c>
      <c r="G41" s="43">
        <f t="shared" si="17"/>
        <v>447.51307171199988</v>
      </c>
      <c r="H41" s="43">
        <f t="shared" si="17"/>
        <v>447.51307171199988</v>
      </c>
      <c r="I41" s="43">
        <f t="shared" si="17"/>
        <v>447.51307171199988</v>
      </c>
      <c r="J41" s="43">
        <f t="shared" si="17"/>
        <v>447.51307171199988</v>
      </c>
      <c r="K41" s="43">
        <f t="shared" si="17"/>
        <v>671.26960756799997</v>
      </c>
      <c r="L41" s="43">
        <f t="shared" si="17"/>
        <v>447.51307171199988</v>
      </c>
      <c r="M41" s="43">
        <f t="shared" si="17"/>
        <v>447.51307171199988</v>
      </c>
      <c r="N41" s="43">
        <f t="shared" si="17"/>
        <v>447.51307171199988</v>
      </c>
      <c r="O41" s="43">
        <f t="shared" si="17"/>
        <v>447.51307171199988</v>
      </c>
      <c r="P41" s="25">
        <f t="shared" si="12"/>
        <v>5817.6699322559998</v>
      </c>
    </row>
    <row r="42" spans="1:16" x14ac:dyDescent="0.3">
      <c r="A42" s="26"/>
      <c r="B42" s="27" t="s">
        <v>30</v>
      </c>
      <c r="C42" s="25"/>
      <c r="D42" s="43"/>
      <c r="E42" s="43"/>
      <c r="F42" s="43"/>
      <c r="G42" s="43"/>
      <c r="H42" s="43"/>
      <c r="I42" s="43"/>
      <c r="J42" s="25"/>
      <c r="K42" s="25"/>
      <c r="L42" s="25"/>
      <c r="M42" s="25"/>
      <c r="N42" s="25"/>
      <c r="O42" s="25"/>
      <c r="P42" s="25">
        <f t="shared" si="12"/>
        <v>0</v>
      </c>
    </row>
    <row r="43" spans="1:16" x14ac:dyDescent="0.3">
      <c r="A43" s="194" t="s">
        <v>31</v>
      </c>
      <c r="B43" s="194"/>
      <c r="C43" s="25"/>
      <c r="D43" s="28">
        <f t="shared" ref="D43:I43" si="18">SUM(D35:D42)</f>
        <v>40639.597484639991</v>
      </c>
      <c r="E43" s="28">
        <f t="shared" si="18"/>
        <v>40639.630078454393</v>
      </c>
      <c r="F43" s="28">
        <f t="shared" si="18"/>
        <v>60959.445117681607</v>
      </c>
      <c r="G43" s="28">
        <f t="shared" si="18"/>
        <v>40639.630078454393</v>
      </c>
      <c r="H43" s="28">
        <f t="shared" si="18"/>
        <v>40639.630078454393</v>
      </c>
      <c r="I43" s="28">
        <f t="shared" si="18"/>
        <v>40639.630078454393</v>
      </c>
      <c r="J43" s="28">
        <f t="shared" ref="J43:P43" si="19">SUM(J35:J42)</f>
        <v>40639.630078454393</v>
      </c>
      <c r="K43" s="28">
        <f t="shared" si="19"/>
        <v>60959.445117681607</v>
      </c>
      <c r="L43" s="28">
        <f t="shared" si="19"/>
        <v>40639.630078454393</v>
      </c>
      <c r="M43" s="28">
        <f t="shared" si="19"/>
        <v>40639.630078454393</v>
      </c>
      <c r="N43" s="28">
        <f t="shared" si="19"/>
        <v>40639.630078454393</v>
      </c>
      <c r="O43" s="28">
        <f t="shared" si="19"/>
        <v>40639.630078454393</v>
      </c>
      <c r="P43" s="28">
        <f t="shared" si="19"/>
        <v>528315.1584260927</v>
      </c>
    </row>
    <row r="44" spans="1:16" x14ac:dyDescent="0.3">
      <c r="A44" s="194" t="s">
        <v>32</v>
      </c>
      <c r="B44" s="194"/>
      <c r="C44" s="25"/>
      <c r="D44" s="43"/>
      <c r="E44" s="43"/>
      <c r="F44" s="43"/>
      <c r="G44" s="43"/>
      <c r="H44" s="43"/>
      <c r="I44" s="43"/>
      <c r="J44" s="25"/>
      <c r="K44" s="25"/>
      <c r="L44" s="25"/>
      <c r="M44" s="25"/>
      <c r="N44" s="25"/>
      <c r="O44" s="25"/>
      <c r="P44" s="25"/>
    </row>
    <row r="45" spans="1:16" x14ac:dyDescent="0.3">
      <c r="A45" s="26"/>
      <c r="B45" s="27" t="s">
        <v>33</v>
      </c>
      <c r="C45" s="25"/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</row>
    <row r="46" spans="1:16" x14ac:dyDescent="0.3">
      <c r="A46" s="26"/>
      <c r="B46" s="27" t="s">
        <v>34</v>
      </c>
      <c r="C46" s="25"/>
      <c r="D46" s="43">
        <v>250</v>
      </c>
      <c r="E46" s="43">
        <v>250</v>
      </c>
      <c r="F46" s="43">
        <v>250</v>
      </c>
      <c r="G46" s="43">
        <v>250</v>
      </c>
      <c r="H46" s="43">
        <v>250</v>
      </c>
      <c r="I46" s="43">
        <v>250</v>
      </c>
      <c r="J46" s="43">
        <v>250</v>
      </c>
      <c r="K46" s="43">
        <v>250</v>
      </c>
      <c r="L46" s="43">
        <v>250</v>
      </c>
      <c r="M46" s="43">
        <v>250</v>
      </c>
      <c r="N46" s="43">
        <v>250</v>
      </c>
      <c r="O46" s="43">
        <v>250</v>
      </c>
      <c r="P46" s="41">
        <f>SUM(D46:O46)</f>
        <v>3000</v>
      </c>
    </row>
    <row r="47" spans="1:16" x14ac:dyDescent="0.3">
      <c r="A47" s="26"/>
      <c r="B47" s="27" t="s">
        <v>35</v>
      </c>
      <c r="C47" s="25"/>
      <c r="D47" s="43">
        <v>324</v>
      </c>
      <c r="E47" s="43">
        <v>324</v>
      </c>
      <c r="F47" s="43">
        <v>324</v>
      </c>
      <c r="G47" s="43">
        <v>324</v>
      </c>
      <c r="H47" s="43">
        <v>324</v>
      </c>
      <c r="I47" s="43">
        <v>324</v>
      </c>
      <c r="J47" s="43">
        <v>324</v>
      </c>
      <c r="K47" s="43">
        <v>324</v>
      </c>
      <c r="L47" s="43">
        <v>324</v>
      </c>
      <c r="M47" s="43">
        <v>324</v>
      </c>
      <c r="N47" s="43">
        <v>324</v>
      </c>
      <c r="O47" s="43">
        <v>324</v>
      </c>
      <c r="P47" s="43">
        <f>SUM(D47:O47)</f>
        <v>3888</v>
      </c>
    </row>
    <row r="48" spans="1:16" x14ac:dyDescent="0.3">
      <c r="A48" s="26"/>
      <c r="B48" s="27" t="s">
        <v>36</v>
      </c>
      <c r="C48" s="25"/>
      <c r="D48" s="43">
        <v>100</v>
      </c>
      <c r="E48" s="43">
        <v>100</v>
      </c>
      <c r="F48" s="43">
        <v>100</v>
      </c>
      <c r="G48" s="43">
        <v>100</v>
      </c>
      <c r="H48" s="43">
        <v>100</v>
      </c>
      <c r="I48" s="43">
        <v>100</v>
      </c>
      <c r="J48" s="43">
        <v>100</v>
      </c>
      <c r="K48" s="43">
        <v>100</v>
      </c>
      <c r="L48" s="43">
        <v>100</v>
      </c>
      <c r="M48" s="43">
        <v>100</v>
      </c>
      <c r="N48" s="43">
        <v>100</v>
      </c>
      <c r="O48" s="43">
        <v>100</v>
      </c>
      <c r="P48" s="43">
        <f>SUM(D48:O48)</f>
        <v>1200</v>
      </c>
    </row>
    <row r="49" spans="1:254" x14ac:dyDescent="0.3">
      <c r="A49" s="26"/>
      <c r="B49" s="27" t="s">
        <v>37</v>
      </c>
      <c r="C49" s="25"/>
      <c r="D49" s="43">
        <v>75</v>
      </c>
      <c r="E49" s="43">
        <v>75</v>
      </c>
      <c r="F49" s="43">
        <v>75</v>
      </c>
      <c r="G49" s="43">
        <v>75</v>
      </c>
      <c r="H49" s="43">
        <v>75</v>
      </c>
      <c r="I49" s="43">
        <v>75</v>
      </c>
      <c r="J49" s="43">
        <v>75</v>
      </c>
      <c r="K49" s="43">
        <v>75</v>
      </c>
      <c r="L49" s="43">
        <v>75</v>
      </c>
      <c r="M49" s="43">
        <v>75</v>
      </c>
      <c r="N49" s="43">
        <v>75</v>
      </c>
      <c r="O49" s="43">
        <v>75</v>
      </c>
      <c r="P49" s="43">
        <f>SUM(D49:O49)</f>
        <v>900</v>
      </c>
    </row>
    <row r="50" spans="1:254" s="42" customFormat="1" x14ac:dyDescent="0.3">
      <c r="A50" s="26"/>
      <c r="B50" s="92" t="s">
        <v>193</v>
      </c>
      <c r="C50" s="43"/>
      <c r="D50" s="43">
        <v>200</v>
      </c>
      <c r="E50" s="43">
        <v>200</v>
      </c>
      <c r="F50" s="43">
        <v>200</v>
      </c>
      <c r="G50" s="43">
        <v>200</v>
      </c>
      <c r="H50" s="43">
        <v>200</v>
      </c>
      <c r="I50" s="43">
        <v>200</v>
      </c>
      <c r="J50" s="43">
        <v>200</v>
      </c>
      <c r="K50" s="43">
        <v>200</v>
      </c>
      <c r="L50" s="43">
        <v>200</v>
      </c>
      <c r="M50" s="43">
        <v>200</v>
      </c>
      <c r="N50" s="43">
        <v>200</v>
      </c>
      <c r="O50" s="43">
        <v>200</v>
      </c>
      <c r="P50" s="43">
        <f>SUM(D50:O50)</f>
        <v>2400</v>
      </c>
    </row>
    <row r="51" spans="1:254" x14ac:dyDescent="0.3">
      <c r="A51" s="26"/>
      <c r="B51" s="27" t="s">
        <v>38</v>
      </c>
      <c r="C51" s="25"/>
      <c r="D51" s="43">
        <v>216</v>
      </c>
      <c r="E51" s="43">
        <v>216</v>
      </c>
      <c r="F51" s="43">
        <v>216</v>
      </c>
      <c r="G51" s="43">
        <v>216</v>
      </c>
      <c r="H51" s="43">
        <v>216</v>
      </c>
      <c r="I51" s="43">
        <v>216</v>
      </c>
      <c r="J51" s="43">
        <v>216</v>
      </c>
      <c r="K51" s="43">
        <v>216</v>
      </c>
      <c r="L51" s="43">
        <v>216</v>
      </c>
      <c r="M51" s="43">
        <v>216</v>
      </c>
      <c r="N51" s="43">
        <v>216</v>
      </c>
      <c r="O51" s="43">
        <v>216</v>
      </c>
      <c r="P51" s="43">
        <v>0</v>
      </c>
    </row>
    <row r="52" spans="1:254" x14ac:dyDescent="0.3">
      <c r="A52" s="26"/>
      <c r="B52" s="27" t="s">
        <v>39</v>
      </c>
      <c r="C52" s="25"/>
      <c r="D52" s="43">
        <v>500</v>
      </c>
      <c r="E52" s="43">
        <v>500</v>
      </c>
      <c r="F52" s="43">
        <v>500</v>
      </c>
      <c r="G52" s="43">
        <v>500</v>
      </c>
      <c r="H52" s="43">
        <v>500</v>
      </c>
      <c r="I52" s="43">
        <v>500</v>
      </c>
      <c r="J52" s="43">
        <v>500</v>
      </c>
      <c r="K52" s="43">
        <v>500</v>
      </c>
      <c r="L52" s="43">
        <v>500</v>
      </c>
      <c r="M52" s="43">
        <v>500</v>
      </c>
      <c r="N52" s="43">
        <v>500</v>
      </c>
      <c r="O52" s="43">
        <v>500</v>
      </c>
      <c r="P52" s="43">
        <f>SUM(D52:O52)</f>
        <v>6000</v>
      </c>
    </row>
    <row r="53" spans="1:254" x14ac:dyDescent="0.3">
      <c r="A53" s="194" t="s">
        <v>40</v>
      </c>
      <c r="B53" s="194"/>
      <c r="C53" s="25"/>
      <c r="D53" s="28">
        <f t="shared" ref="D53:I53" si="20">SUM(D45:D52)</f>
        <v>1665</v>
      </c>
      <c r="E53" s="28">
        <f t="shared" si="20"/>
        <v>1665</v>
      </c>
      <c r="F53" s="28">
        <f t="shared" si="20"/>
        <v>1665</v>
      </c>
      <c r="G53" s="28">
        <f t="shared" si="20"/>
        <v>1665</v>
      </c>
      <c r="H53" s="28">
        <f t="shared" si="20"/>
        <v>1665</v>
      </c>
      <c r="I53" s="28">
        <f t="shared" si="20"/>
        <v>1665</v>
      </c>
      <c r="J53" s="28">
        <f t="shared" ref="J53:P53" si="21">SUM(J45:J52)</f>
        <v>1665</v>
      </c>
      <c r="K53" s="28">
        <f t="shared" si="21"/>
        <v>1665</v>
      </c>
      <c r="L53" s="28">
        <f t="shared" si="21"/>
        <v>1665</v>
      </c>
      <c r="M53" s="28">
        <f t="shared" si="21"/>
        <v>1665</v>
      </c>
      <c r="N53" s="28">
        <f t="shared" si="21"/>
        <v>1665</v>
      </c>
      <c r="O53" s="28">
        <f t="shared" si="21"/>
        <v>1665</v>
      </c>
      <c r="P53" s="28">
        <f t="shared" si="21"/>
        <v>17388</v>
      </c>
    </row>
    <row r="54" spans="1:254" x14ac:dyDescent="0.3">
      <c r="A54" s="194" t="s">
        <v>41</v>
      </c>
      <c r="B54" s="194"/>
      <c r="C54" s="25"/>
      <c r="D54" s="43"/>
      <c r="E54" s="43"/>
      <c r="F54" s="43"/>
      <c r="G54" s="43"/>
      <c r="H54" s="43"/>
      <c r="I54" s="43"/>
      <c r="J54" s="25"/>
      <c r="K54" s="25"/>
      <c r="L54" s="25"/>
      <c r="M54" s="25"/>
      <c r="N54" s="25"/>
      <c r="O54" s="25"/>
      <c r="P54" s="25"/>
    </row>
    <row r="55" spans="1:254" x14ac:dyDescent="0.3">
      <c r="A55" s="26"/>
      <c r="B55" s="27" t="s">
        <v>42</v>
      </c>
      <c r="C55" s="25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f>SUM(D55:O55)</f>
        <v>0</v>
      </c>
    </row>
    <row r="56" spans="1:254" x14ac:dyDescent="0.3">
      <c r="A56" s="26"/>
      <c r="B56" s="27" t="s">
        <v>43</v>
      </c>
      <c r="C56" s="25"/>
      <c r="D56" s="42">
        <v>1200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>
        <f>SUM(D56:O56)</f>
        <v>1200</v>
      </c>
      <c r="IH56">
        <v>100</v>
      </c>
      <c r="II56">
        <v>100</v>
      </c>
      <c r="IJ56">
        <v>100</v>
      </c>
      <c r="IK56">
        <v>100</v>
      </c>
      <c r="IL56">
        <v>100</v>
      </c>
      <c r="IM56">
        <v>100</v>
      </c>
      <c r="IN56">
        <v>100</v>
      </c>
      <c r="IO56">
        <v>100</v>
      </c>
      <c r="IP56">
        <v>100</v>
      </c>
      <c r="IQ56">
        <v>100</v>
      </c>
      <c r="IR56">
        <v>100</v>
      </c>
      <c r="IS56">
        <v>100</v>
      </c>
      <c r="IT56">
        <v>100</v>
      </c>
    </row>
    <row r="57" spans="1:254" x14ac:dyDescent="0.3">
      <c r="A57" s="26"/>
      <c r="B57" s="27" t="s">
        <v>44</v>
      </c>
      <c r="C57" s="25"/>
      <c r="D57" s="43">
        <v>50</v>
      </c>
      <c r="E57" s="43">
        <v>50</v>
      </c>
      <c r="F57" s="43">
        <v>50</v>
      </c>
      <c r="G57" s="43">
        <v>50</v>
      </c>
      <c r="H57" s="43">
        <v>50</v>
      </c>
      <c r="I57" s="43">
        <v>50</v>
      </c>
      <c r="J57" s="43">
        <v>50</v>
      </c>
      <c r="K57" s="43">
        <v>50</v>
      </c>
      <c r="L57" s="43">
        <v>50</v>
      </c>
      <c r="M57" s="43">
        <v>50</v>
      </c>
      <c r="N57" s="43">
        <v>50</v>
      </c>
      <c r="O57" s="43">
        <v>50</v>
      </c>
      <c r="P57" s="43">
        <f t="shared" ref="P57:P81" si="22">SUM(D57:O57)</f>
        <v>600</v>
      </c>
    </row>
    <row r="58" spans="1:254" x14ac:dyDescent="0.3">
      <c r="A58" s="26"/>
      <c r="B58" s="27" t="s">
        <v>45</v>
      </c>
      <c r="C58" s="25"/>
      <c r="D58" s="43">
        <v>50</v>
      </c>
      <c r="E58" s="43">
        <v>50</v>
      </c>
      <c r="F58" s="43">
        <v>50</v>
      </c>
      <c r="G58" s="43">
        <v>50</v>
      </c>
      <c r="H58" s="43">
        <v>50</v>
      </c>
      <c r="I58" s="43">
        <v>50</v>
      </c>
      <c r="J58" s="43">
        <v>50</v>
      </c>
      <c r="K58" s="43">
        <v>50</v>
      </c>
      <c r="L58" s="43">
        <v>50</v>
      </c>
      <c r="M58" s="43">
        <v>50</v>
      </c>
      <c r="N58" s="43">
        <v>50</v>
      </c>
      <c r="O58" s="43">
        <v>50</v>
      </c>
      <c r="P58" s="43">
        <f t="shared" si="22"/>
        <v>600</v>
      </c>
    </row>
    <row r="59" spans="1:254" x14ac:dyDescent="0.3">
      <c r="A59" s="26"/>
      <c r="B59" s="27" t="s">
        <v>46</v>
      </c>
      <c r="C59" s="25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f t="shared" si="22"/>
        <v>0</v>
      </c>
    </row>
    <row r="60" spans="1:254" x14ac:dyDescent="0.3">
      <c r="A60" s="26"/>
      <c r="B60" s="27" t="s">
        <v>47</v>
      </c>
      <c r="C60" s="25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f t="shared" si="22"/>
        <v>0</v>
      </c>
    </row>
    <row r="61" spans="1:254" x14ac:dyDescent="0.3">
      <c r="A61" s="26"/>
      <c r="B61" s="27" t="s">
        <v>48</v>
      </c>
      <c r="C61" s="2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f t="shared" si="22"/>
        <v>0</v>
      </c>
    </row>
    <row r="62" spans="1:254" x14ac:dyDescent="0.3">
      <c r="A62" s="26"/>
      <c r="B62" s="27" t="s">
        <v>49</v>
      </c>
      <c r="C62" s="25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>
        <f t="shared" si="22"/>
        <v>0</v>
      </c>
    </row>
    <row r="63" spans="1:254" x14ac:dyDescent="0.3">
      <c r="A63" s="26"/>
      <c r="B63" s="119" t="s">
        <v>50</v>
      </c>
      <c r="C63" s="25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f t="shared" si="22"/>
        <v>0</v>
      </c>
    </row>
    <row r="64" spans="1:254" x14ac:dyDescent="0.3">
      <c r="A64" s="26"/>
      <c r="B64" s="27" t="s">
        <v>51</v>
      </c>
      <c r="C64" s="25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22"/>
        <v>0</v>
      </c>
    </row>
    <row r="65" spans="1:16" x14ac:dyDescent="0.3">
      <c r="A65" s="26"/>
      <c r="B65" s="27" t="s">
        <v>52</v>
      </c>
      <c r="C65" s="25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>
        <f t="shared" si="22"/>
        <v>0</v>
      </c>
    </row>
    <row r="66" spans="1:16" x14ac:dyDescent="0.3">
      <c r="A66" s="26"/>
      <c r="B66" s="27" t="s">
        <v>53</v>
      </c>
      <c r="C66" s="25"/>
      <c r="D66" s="43">
        <v>50</v>
      </c>
      <c r="E66" s="43">
        <v>50</v>
      </c>
      <c r="F66" s="43">
        <v>50</v>
      </c>
      <c r="G66" s="43">
        <v>50</v>
      </c>
      <c r="H66" s="43">
        <v>50</v>
      </c>
      <c r="I66" s="43">
        <v>50</v>
      </c>
      <c r="J66" s="43">
        <v>50</v>
      </c>
      <c r="K66" s="43">
        <v>50</v>
      </c>
      <c r="L66" s="43">
        <v>50</v>
      </c>
      <c r="M66" s="43">
        <v>50</v>
      </c>
      <c r="N66" s="43">
        <v>50</v>
      </c>
      <c r="O66" s="43">
        <v>50</v>
      </c>
      <c r="P66" s="43">
        <f t="shared" si="22"/>
        <v>600</v>
      </c>
    </row>
    <row r="67" spans="1:16" x14ac:dyDescent="0.3">
      <c r="A67" s="26"/>
      <c r="B67" s="27" t="s">
        <v>54</v>
      </c>
      <c r="C67" s="25"/>
      <c r="D67" s="43">
        <v>67</v>
      </c>
      <c r="E67" s="43">
        <v>67</v>
      </c>
      <c r="F67" s="43">
        <v>241</v>
      </c>
      <c r="G67" s="43">
        <v>67</v>
      </c>
      <c r="H67" s="43">
        <v>67</v>
      </c>
      <c r="I67" s="43">
        <v>241</v>
      </c>
      <c r="J67" s="43">
        <v>67</v>
      </c>
      <c r="K67" s="43">
        <v>67</v>
      </c>
      <c r="L67" s="43">
        <v>241</v>
      </c>
      <c r="M67" s="43">
        <v>67</v>
      </c>
      <c r="N67" s="43">
        <v>67</v>
      </c>
      <c r="O67" s="43">
        <v>241</v>
      </c>
      <c r="P67" s="43">
        <f t="shared" si="22"/>
        <v>1500</v>
      </c>
    </row>
    <row r="68" spans="1:16" x14ac:dyDescent="0.3">
      <c r="A68" s="26"/>
      <c r="B68" s="27" t="s">
        <v>55</v>
      </c>
      <c r="C68" s="25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>
        <f t="shared" si="22"/>
        <v>0</v>
      </c>
    </row>
    <row r="69" spans="1:16" x14ac:dyDescent="0.3">
      <c r="A69" s="26"/>
      <c r="B69" s="27" t="s">
        <v>56</v>
      </c>
      <c r="C69" s="25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>
        <f t="shared" si="22"/>
        <v>0</v>
      </c>
    </row>
    <row r="70" spans="1:16" x14ac:dyDescent="0.3">
      <c r="A70" s="26"/>
      <c r="B70" s="27" t="s">
        <v>57</v>
      </c>
      <c r="C70" s="25"/>
      <c r="D70" s="43">
        <v>243</v>
      </c>
      <c r="E70" s="43">
        <v>243</v>
      </c>
      <c r="F70" s="43">
        <v>243</v>
      </c>
      <c r="G70" s="43">
        <v>243</v>
      </c>
      <c r="H70" s="43">
        <v>243</v>
      </c>
      <c r="I70" s="43">
        <v>243</v>
      </c>
      <c r="J70" s="43">
        <v>243</v>
      </c>
      <c r="K70" s="43">
        <v>243</v>
      </c>
      <c r="L70" s="43">
        <v>243</v>
      </c>
      <c r="M70" s="43">
        <v>243</v>
      </c>
      <c r="N70" s="43">
        <v>243</v>
      </c>
      <c r="O70" s="43">
        <v>243</v>
      </c>
      <c r="P70" s="43">
        <f t="shared" si="22"/>
        <v>2916</v>
      </c>
    </row>
    <row r="71" spans="1:16" x14ac:dyDescent="0.3">
      <c r="A71" s="26"/>
      <c r="B71" s="27" t="s">
        <v>58</v>
      </c>
      <c r="C71" s="2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>
        <f t="shared" si="22"/>
        <v>0</v>
      </c>
    </row>
    <row r="72" spans="1:16" x14ac:dyDescent="0.3">
      <c r="A72" s="26"/>
      <c r="B72" s="27" t="s">
        <v>59</v>
      </c>
      <c r="C72" s="25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>
        <f t="shared" si="22"/>
        <v>0</v>
      </c>
    </row>
    <row r="73" spans="1:16" x14ac:dyDescent="0.3">
      <c r="A73" s="26"/>
      <c r="B73" s="27" t="s">
        <v>60</v>
      </c>
      <c r="C73" s="2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>
        <f t="shared" si="22"/>
        <v>0</v>
      </c>
    </row>
    <row r="74" spans="1:16" x14ac:dyDescent="0.3">
      <c r="A74" s="26"/>
      <c r="B74" s="27" t="s">
        <v>61</v>
      </c>
      <c r="C74" s="25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 t="shared" si="22"/>
        <v>0</v>
      </c>
    </row>
    <row r="75" spans="1:16" x14ac:dyDescent="0.3">
      <c r="A75" s="26"/>
      <c r="B75" s="27" t="s">
        <v>62</v>
      </c>
      <c r="C75" s="25"/>
      <c r="D75" s="43">
        <v>186</v>
      </c>
      <c r="E75" s="43">
        <v>186</v>
      </c>
      <c r="F75" s="43">
        <v>186</v>
      </c>
      <c r="G75" s="43">
        <v>186</v>
      </c>
      <c r="H75" s="43">
        <v>186</v>
      </c>
      <c r="I75" s="43">
        <v>186</v>
      </c>
      <c r="J75" s="43">
        <v>186</v>
      </c>
      <c r="K75" s="43">
        <v>186</v>
      </c>
      <c r="L75" s="43">
        <v>186</v>
      </c>
      <c r="M75" s="43">
        <v>186</v>
      </c>
      <c r="N75" s="43">
        <v>186</v>
      </c>
      <c r="O75" s="43">
        <v>186</v>
      </c>
      <c r="P75" s="43">
        <f t="shared" si="22"/>
        <v>2232</v>
      </c>
    </row>
    <row r="76" spans="1:16" x14ac:dyDescent="0.3">
      <c r="A76" s="26"/>
      <c r="B76" s="27" t="s">
        <v>63</v>
      </c>
      <c r="C76" s="25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>
        <f t="shared" si="22"/>
        <v>0</v>
      </c>
    </row>
    <row r="77" spans="1:16" x14ac:dyDescent="0.3">
      <c r="A77" s="27" t="s">
        <v>17</v>
      </c>
      <c r="B77" s="27" t="s">
        <v>64</v>
      </c>
      <c r="C77" s="25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>
        <f t="shared" si="22"/>
        <v>0</v>
      </c>
    </row>
    <row r="78" spans="1:16" x14ac:dyDescent="0.3">
      <c r="A78" s="26"/>
      <c r="B78" s="27" t="s">
        <v>65</v>
      </c>
      <c r="C78" s="25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>
        <f t="shared" si="22"/>
        <v>0</v>
      </c>
    </row>
    <row r="79" spans="1:16" x14ac:dyDescent="0.3">
      <c r="A79" s="26"/>
      <c r="B79" s="26"/>
      <c r="C79" s="25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f t="shared" si="22"/>
        <v>0</v>
      </c>
    </row>
    <row r="80" spans="1:16" x14ac:dyDescent="0.3">
      <c r="A80" s="26"/>
      <c r="B80" s="27"/>
      <c r="C80" s="25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f t="shared" si="22"/>
        <v>0</v>
      </c>
    </row>
    <row r="81" spans="1:16" x14ac:dyDescent="0.3">
      <c r="A81" s="26"/>
      <c r="B81" s="27"/>
      <c r="C81" s="25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>
        <f t="shared" si="22"/>
        <v>0</v>
      </c>
    </row>
    <row r="82" spans="1:16" x14ac:dyDescent="0.3">
      <c r="A82" s="26"/>
      <c r="B82" s="27"/>
      <c r="C82" s="25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25">
        <f>SUM(D82:O82)</f>
        <v>0</v>
      </c>
    </row>
    <row r="83" spans="1:16" x14ac:dyDescent="0.3">
      <c r="A83" s="26"/>
      <c r="B83" s="27"/>
      <c r="C83" s="25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25">
        <f>SUM(D83:O83)</f>
        <v>0</v>
      </c>
    </row>
    <row r="84" spans="1:16" x14ac:dyDescent="0.3">
      <c r="A84" s="194" t="s">
        <v>66</v>
      </c>
      <c r="B84" s="194"/>
      <c r="C84" s="25"/>
      <c r="D84" s="28">
        <f t="shared" ref="D84:I84" si="23">SUM(D56:D83)</f>
        <v>1846</v>
      </c>
      <c r="E84" s="28">
        <f t="shared" si="23"/>
        <v>646</v>
      </c>
      <c r="F84" s="28">
        <f t="shared" si="23"/>
        <v>820</v>
      </c>
      <c r="G84" s="28">
        <f t="shared" si="23"/>
        <v>646</v>
      </c>
      <c r="H84" s="28">
        <f t="shared" si="23"/>
        <v>646</v>
      </c>
      <c r="I84" s="28">
        <f t="shared" si="23"/>
        <v>820</v>
      </c>
      <c r="J84" s="28">
        <f t="shared" ref="J84:P84" si="24">SUM(J56:J83)</f>
        <v>646</v>
      </c>
      <c r="K84" s="28">
        <f t="shared" si="24"/>
        <v>646</v>
      </c>
      <c r="L84" s="28">
        <f t="shared" si="24"/>
        <v>820</v>
      </c>
      <c r="M84" s="28">
        <f t="shared" si="24"/>
        <v>646</v>
      </c>
      <c r="N84" s="28">
        <f t="shared" si="24"/>
        <v>646</v>
      </c>
      <c r="O84" s="28">
        <f t="shared" si="24"/>
        <v>820</v>
      </c>
      <c r="P84" s="28">
        <f t="shared" si="24"/>
        <v>9648</v>
      </c>
    </row>
    <row r="85" spans="1:16" x14ac:dyDescent="0.3">
      <c r="A85" s="194" t="s">
        <v>67</v>
      </c>
      <c r="B85" s="194"/>
      <c r="C85" s="25"/>
      <c r="D85" s="43"/>
      <c r="E85" s="43"/>
      <c r="F85" s="43"/>
      <c r="G85" s="43"/>
      <c r="H85" s="43"/>
      <c r="I85" s="43"/>
      <c r="J85" s="25"/>
      <c r="K85" s="25"/>
      <c r="L85" s="25"/>
      <c r="M85" s="25"/>
      <c r="N85" s="25"/>
      <c r="O85" s="25"/>
      <c r="P85" s="25"/>
    </row>
    <row r="86" spans="1:16" x14ac:dyDescent="0.3">
      <c r="A86" s="26"/>
      <c r="B86" s="27" t="s">
        <v>68</v>
      </c>
      <c r="C86" s="25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25">
        <f t="shared" ref="P86:P104" si="25">SUM(D86:O86)</f>
        <v>0</v>
      </c>
    </row>
    <row r="87" spans="1:16" x14ac:dyDescent="0.3">
      <c r="A87" s="26"/>
      <c r="B87" s="27" t="s">
        <v>69</v>
      </c>
      <c r="C87" s="25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25">
        <f t="shared" si="25"/>
        <v>0</v>
      </c>
    </row>
    <row r="88" spans="1:16" x14ac:dyDescent="0.3">
      <c r="A88" s="26"/>
      <c r="B88" s="27" t="s">
        <v>70</v>
      </c>
      <c r="C88" s="25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25">
        <f t="shared" si="25"/>
        <v>0</v>
      </c>
    </row>
    <row r="89" spans="1:16" x14ac:dyDescent="0.3">
      <c r="A89" s="26"/>
      <c r="B89" s="27" t="s">
        <v>71</v>
      </c>
      <c r="C89" s="25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25">
        <f t="shared" si="25"/>
        <v>0</v>
      </c>
    </row>
    <row r="90" spans="1:16" x14ac:dyDescent="0.3">
      <c r="A90" s="26"/>
      <c r="B90" s="27" t="s">
        <v>72</v>
      </c>
      <c r="C90" s="25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25">
        <f t="shared" si="25"/>
        <v>0</v>
      </c>
    </row>
    <row r="91" spans="1:16" x14ac:dyDescent="0.3">
      <c r="A91" s="26"/>
      <c r="B91" s="27" t="s">
        <v>73</v>
      </c>
      <c r="C91" s="25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25">
        <f t="shared" si="25"/>
        <v>0</v>
      </c>
    </row>
    <row r="92" spans="1:16" x14ac:dyDescent="0.3">
      <c r="A92" s="26"/>
      <c r="B92" s="27" t="s">
        <v>74</v>
      </c>
      <c r="C92" s="25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25">
        <f t="shared" si="25"/>
        <v>0</v>
      </c>
    </row>
    <row r="93" spans="1:16" x14ac:dyDescent="0.3">
      <c r="A93" s="26"/>
      <c r="B93" s="27" t="s">
        <v>75</v>
      </c>
      <c r="C93" s="25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25">
        <f t="shared" si="25"/>
        <v>0</v>
      </c>
    </row>
    <row r="94" spans="1:16" x14ac:dyDescent="0.3">
      <c r="A94" s="26"/>
      <c r="B94" s="27" t="s">
        <v>76</v>
      </c>
      <c r="C94" s="25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25">
        <f t="shared" si="25"/>
        <v>0</v>
      </c>
    </row>
    <row r="95" spans="1:16" x14ac:dyDescent="0.3">
      <c r="A95" s="26"/>
      <c r="B95" s="27" t="s">
        <v>77</v>
      </c>
      <c r="C95" s="25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25">
        <f t="shared" si="25"/>
        <v>0</v>
      </c>
    </row>
    <row r="96" spans="1:16" x14ac:dyDescent="0.3">
      <c r="A96" s="26"/>
      <c r="B96" s="27" t="s">
        <v>78</v>
      </c>
      <c r="C96" s="25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25">
        <f t="shared" si="25"/>
        <v>0</v>
      </c>
    </row>
    <row r="97" spans="1:16" x14ac:dyDescent="0.3">
      <c r="A97" s="26"/>
      <c r="B97" s="27" t="s">
        <v>79</v>
      </c>
      <c r="C97" s="25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25">
        <f t="shared" si="25"/>
        <v>0</v>
      </c>
    </row>
    <row r="98" spans="1:16" x14ac:dyDescent="0.3">
      <c r="A98" s="26"/>
      <c r="B98" s="27" t="s">
        <v>80</v>
      </c>
      <c r="C98" s="25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25">
        <f t="shared" si="25"/>
        <v>0</v>
      </c>
    </row>
    <row r="99" spans="1:16" x14ac:dyDescent="0.3">
      <c r="A99" s="26"/>
      <c r="B99" s="27" t="s">
        <v>81</v>
      </c>
      <c r="C99" s="25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25">
        <f t="shared" si="25"/>
        <v>0</v>
      </c>
    </row>
    <row r="100" spans="1:16" x14ac:dyDescent="0.3">
      <c r="A100" s="26"/>
      <c r="B100" s="27" t="s">
        <v>82</v>
      </c>
      <c r="C100" s="25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25">
        <f t="shared" si="25"/>
        <v>0</v>
      </c>
    </row>
    <row r="101" spans="1:16" x14ac:dyDescent="0.3">
      <c r="A101" s="26"/>
      <c r="B101" s="27" t="s">
        <v>83</v>
      </c>
      <c r="C101" s="25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25">
        <f t="shared" si="25"/>
        <v>0</v>
      </c>
    </row>
    <row r="102" spans="1:16" x14ac:dyDescent="0.3">
      <c r="A102" s="26"/>
      <c r="B102" s="26"/>
      <c r="C102" s="25"/>
      <c r="D102" s="43"/>
      <c r="E102" s="43"/>
      <c r="F102" s="43"/>
      <c r="G102" s="43"/>
      <c r="H102" s="43"/>
      <c r="I102" s="43"/>
      <c r="J102" s="25"/>
      <c r="K102" s="25"/>
      <c r="L102" s="25"/>
      <c r="M102" s="25"/>
      <c r="N102" s="25"/>
      <c r="O102" s="25"/>
      <c r="P102" s="25">
        <f t="shared" si="25"/>
        <v>0</v>
      </c>
    </row>
    <row r="103" spans="1:16" x14ac:dyDescent="0.3">
      <c r="A103" s="26"/>
      <c r="B103" s="27"/>
      <c r="C103" s="25"/>
      <c r="D103" s="43"/>
      <c r="E103" s="43"/>
      <c r="F103" s="43"/>
      <c r="G103" s="43"/>
      <c r="H103" s="43"/>
      <c r="I103" s="43"/>
      <c r="J103" s="25"/>
      <c r="K103" s="25"/>
      <c r="L103" s="25"/>
      <c r="M103" s="25"/>
      <c r="N103" s="25"/>
      <c r="O103" s="25"/>
      <c r="P103" s="25">
        <f t="shared" si="25"/>
        <v>0</v>
      </c>
    </row>
    <row r="104" spans="1:16" x14ac:dyDescent="0.3">
      <c r="A104" s="26"/>
      <c r="B104" s="27"/>
      <c r="C104" s="25"/>
      <c r="D104" s="43"/>
      <c r="E104" s="43"/>
      <c r="F104" s="43"/>
      <c r="G104" s="43"/>
      <c r="H104" s="43"/>
      <c r="I104" s="43"/>
      <c r="J104" s="25"/>
      <c r="K104" s="25"/>
      <c r="L104" s="25"/>
      <c r="M104" s="25"/>
      <c r="N104" s="25"/>
      <c r="O104" s="25"/>
      <c r="P104" s="25">
        <f t="shared" si="25"/>
        <v>0</v>
      </c>
    </row>
    <row r="105" spans="1:16" x14ac:dyDescent="0.3">
      <c r="A105" s="194" t="s">
        <v>84</v>
      </c>
      <c r="B105" s="194"/>
      <c r="C105" s="25"/>
      <c r="D105" s="30">
        <f t="shared" ref="D105:I105" si="26">SUM(D86:D104)</f>
        <v>0</v>
      </c>
      <c r="E105" s="30">
        <f t="shared" si="26"/>
        <v>0</v>
      </c>
      <c r="F105" s="30">
        <f t="shared" si="26"/>
        <v>0</v>
      </c>
      <c r="G105" s="30">
        <f t="shared" si="26"/>
        <v>0</v>
      </c>
      <c r="H105" s="30">
        <f t="shared" si="26"/>
        <v>0</v>
      </c>
      <c r="I105" s="30">
        <f t="shared" si="26"/>
        <v>0</v>
      </c>
      <c r="J105" s="30">
        <f t="shared" ref="J105:P105" si="27">SUM(J86:J104)</f>
        <v>0</v>
      </c>
      <c r="K105" s="30">
        <f t="shared" si="27"/>
        <v>0</v>
      </c>
      <c r="L105" s="30">
        <f t="shared" si="27"/>
        <v>0</v>
      </c>
      <c r="M105" s="30">
        <f t="shared" si="27"/>
        <v>0</v>
      </c>
      <c r="N105" s="30">
        <f t="shared" si="27"/>
        <v>0</v>
      </c>
      <c r="O105" s="30">
        <f t="shared" si="27"/>
        <v>0</v>
      </c>
      <c r="P105" s="30">
        <f t="shared" si="27"/>
        <v>0</v>
      </c>
    </row>
    <row r="106" spans="1:16" x14ac:dyDescent="0.3">
      <c r="A106" s="26"/>
      <c r="B106" s="27" t="s">
        <v>85</v>
      </c>
      <c r="C106" s="25"/>
      <c r="D106" s="30">
        <f t="shared" ref="D106:I106" si="28">D105+D84+D53+D43</f>
        <v>44150.597484639991</v>
      </c>
      <c r="E106" s="30">
        <f t="shared" si="28"/>
        <v>42950.630078454393</v>
      </c>
      <c r="F106" s="30">
        <f t="shared" si="28"/>
        <v>63444.445117681607</v>
      </c>
      <c r="G106" s="30">
        <f t="shared" si="28"/>
        <v>42950.630078454393</v>
      </c>
      <c r="H106" s="30">
        <f t="shared" si="28"/>
        <v>42950.630078454393</v>
      </c>
      <c r="I106" s="30">
        <f t="shared" si="28"/>
        <v>43124.630078454393</v>
      </c>
      <c r="J106" s="30">
        <f t="shared" ref="J106:P106" si="29">J105+J84+J53+J43</f>
        <v>42950.630078454393</v>
      </c>
      <c r="K106" s="30">
        <f t="shared" si="29"/>
        <v>63270.445117681607</v>
      </c>
      <c r="L106" s="30">
        <f t="shared" si="29"/>
        <v>43124.630078454393</v>
      </c>
      <c r="M106" s="30">
        <f t="shared" si="29"/>
        <v>42950.630078454393</v>
      </c>
      <c r="N106" s="30">
        <f t="shared" si="29"/>
        <v>42950.630078454393</v>
      </c>
      <c r="O106" s="30">
        <f t="shared" si="29"/>
        <v>43124.630078454393</v>
      </c>
      <c r="P106" s="30">
        <f t="shared" si="29"/>
        <v>555351.1584260927</v>
      </c>
    </row>
    <row r="107" spans="1:16" x14ac:dyDescent="0.3">
      <c r="A107" s="26"/>
      <c r="B107" s="27" t="s">
        <v>86</v>
      </c>
      <c r="C107" s="25"/>
      <c r="D107" s="43"/>
      <c r="E107" s="43"/>
      <c r="F107" s="43"/>
      <c r="G107" s="43"/>
      <c r="H107" s="43"/>
      <c r="I107" s="43"/>
      <c r="J107" s="25"/>
      <c r="K107" s="25"/>
      <c r="L107" s="25"/>
      <c r="M107" s="25"/>
      <c r="N107" s="25"/>
      <c r="O107" s="25"/>
      <c r="P107" s="25"/>
    </row>
    <row r="108" spans="1:16" x14ac:dyDescent="0.3">
      <c r="A108" s="25"/>
      <c r="B108" s="25"/>
      <c r="C108" s="25"/>
      <c r="D108" s="43"/>
      <c r="E108" s="43"/>
      <c r="F108" s="43"/>
      <c r="G108" s="43"/>
      <c r="H108" s="43"/>
      <c r="I108" s="43"/>
      <c r="J108" s="25"/>
      <c r="K108" s="25"/>
      <c r="L108" s="25"/>
      <c r="M108" s="25"/>
      <c r="N108" s="25"/>
      <c r="O108" s="25"/>
      <c r="P108" s="25"/>
    </row>
    <row r="109" spans="1:16" ht="15" thickBot="1" x14ac:dyDescent="0.35">
      <c r="A109" s="25"/>
      <c r="B109" s="25" t="s">
        <v>112</v>
      </c>
      <c r="C109" s="25"/>
      <c r="D109" s="31">
        <f t="shared" ref="D109:I109" si="30">D32-D106-D107</f>
        <v>17192.67179618193</v>
      </c>
      <c r="E109" s="31">
        <f t="shared" si="30"/>
        <v>13600.645400997673</v>
      </c>
      <c r="F109" s="31">
        <f t="shared" si="30"/>
        <v>-2101.1758368596857</v>
      </c>
      <c r="G109" s="31">
        <f t="shared" si="30"/>
        <v>16795.307935244251</v>
      </c>
      <c r="H109" s="31">
        <f t="shared" si="30"/>
        <v>18392.639202367529</v>
      </c>
      <c r="I109" s="31">
        <f t="shared" si="30"/>
        <v>16621.307935244251</v>
      </c>
      <c r="J109" s="31">
        <f t="shared" ref="J109:P109" si="31">J32-J106-J107</f>
        <v>18392.639202367529</v>
      </c>
      <c r="K109" s="31">
        <f t="shared" si="31"/>
        <v>-1927.1758368596857</v>
      </c>
      <c r="L109" s="31">
        <f t="shared" si="31"/>
        <v>16621.307935244251</v>
      </c>
      <c r="M109" s="31">
        <f t="shared" si="31"/>
        <v>18392.639202367529</v>
      </c>
      <c r="N109" s="31">
        <f t="shared" si="31"/>
        <v>16795.307935244251</v>
      </c>
      <c r="O109" s="31">
        <f t="shared" si="31"/>
        <v>26290.157836614111</v>
      </c>
      <c r="P109" s="31">
        <f t="shared" si="31"/>
        <v>177658.27270815393</v>
      </c>
    </row>
    <row r="110" spans="1:16" ht="15" thickTop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1:16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110"/>
  <sheetViews>
    <sheetView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D38" sqref="D38:O38"/>
    </sheetView>
  </sheetViews>
  <sheetFormatPr defaultRowHeight="14.4" x14ac:dyDescent="0.3"/>
  <cols>
    <col min="3" max="3" width="22.5546875" customWidth="1"/>
    <col min="16" max="16" width="10.109375" bestFit="1" customWidth="1"/>
    <col min="21" max="21" width="8.88671875" style="43"/>
    <col min="22" max="22" width="9.109375" bestFit="1" customWidth="1"/>
  </cols>
  <sheetData>
    <row r="1" spans="1:26" x14ac:dyDescent="0.3">
      <c r="A1" s="25"/>
      <c r="B1" s="25"/>
      <c r="C1" s="42" t="s">
        <v>192</v>
      </c>
      <c r="D1" s="25">
        <v>12</v>
      </c>
      <c r="E1" s="25">
        <v>12</v>
      </c>
      <c r="F1" s="25">
        <v>12</v>
      </c>
      <c r="G1" s="25">
        <v>12</v>
      </c>
      <c r="H1" s="25">
        <v>12</v>
      </c>
      <c r="I1" s="25">
        <v>12</v>
      </c>
      <c r="J1" s="25">
        <v>12</v>
      </c>
      <c r="K1" s="25">
        <v>12</v>
      </c>
      <c r="L1" s="25">
        <v>12</v>
      </c>
      <c r="M1" s="25">
        <v>12</v>
      </c>
      <c r="N1" s="25">
        <v>12</v>
      </c>
      <c r="O1" s="25">
        <v>12</v>
      </c>
      <c r="P1" s="25"/>
    </row>
    <row r="2" spans="1:26" x14ac:dyDescent="0.3">
      <c r="A2" s="25"/>
      <c r="B2" s="25"/>
      <c r="C2" s="43" t="s">
        <v>191</v>
      </c>
      <c r="D2" s="25">
        <v>15</v>
      </c>
      <c r="E2" s="25">
        <v>15</v>
      </c>
      <c r="F2" s="25">
        <v>15</v>
      </c>
      <c r="G2" s="25">
        <v>15</v>
      </c>
      <c r="H2" s="25">
        <v>15</v>
      </c>
      <c r="I2" s="25">
        <v>15</v>
      </c>
      <c r="J2" s="25">
        <v>15</v>
      </c>
      <c r="K2" s="25">
        <v>15</v>
      </c>
      <c r="L2" s="25">
        <v>15</v>
      </c>
      <c r="M2" s="25">
        <v>15</v>
      </c>
      <c r="N2" s="25">
        <v>15</v>
      </c>
      <c r="O2" s="25">
        <v>15</v>
      </c>
      <c r="P2" s="25"/>
    </row>
    <row r="3" spans="1:26" x14ac:dyDescent="0.3">
      <c r="A3" s="25"/>
      <c r="B3" s="25"/>
      <c r="C3" s="25"/>
      <c r="D3" s="22" t="s">
        <v>100</v>
      </c>
      <c r="E3" s="22" t="s">
        <v>101</v>
      </c>
      <c r="F3" s="22" t="s">
        <v>102</v>
      </c>
      <c r="G3" s="22" t="s">
        <v>103</v>
      </c>
      <c r="H3" s="22" t="s">
        <v>104</v>
      </c>
      <c r="I3" s="22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</row>
    <row r="4" spans="1:26" x14ac:dyDescent="0.3">
      <c r="A4" s="194" t="s">
        <v>99</v>
      </c>
      <c r="B4" s="19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26" x14ac:dyDescent="0.3">
      <c r="A5" s="194" t="s">
        <v>1</v>
      </c>
      <c r="B5" s="19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6" x14ac:dyDescent="0.3">
      <c r="A6" s="26"/>
      <c r="B6" s="94" t="s">
        <v>2</v>
      </c>
      <c r="C6" s="25"/>
      <c r="D6" s="40">
        <f>CADI!M42</f>
        <v>46603.900653698627</v>
      </c>
      <c r="E6" s="40">
        <f>CADI!N42</f>
        <v>41993.248977534247</v>
      </c>
      <c r="F6" s="40">
        <f>CADI!O42</f>
        <v>46603.900653698627</v>
      </c>
      <c r="G6" s="40">
        <f>CADI!P42</f>
        <v>45067.016761643834</v>
      </c>
      <c r="H6" s="40">
        <f>CADI!Q42</f>
        <v>46603.900653698627</v>
      </c>
      <c r="I6" s="40">
        <f>CADI!R42</f>
        <v>45067.016761643834</v>
      </c>
      <c r="J6" s="40">
        <f>CADI!S42</f>
        <v>46603.900653698627</v>
      </c>
      <c r="K6" s="40">
        <f>CADI!T42</f>
        <v>46603.900653698627</v>
      </c>
      <c r="L6" s="40">
        <f>CADI!U42</f>
        <v>45067.016761643834</v>
      </c>
      <c r="M6" s="40">
        <f>CADI!V42</f>
        <v>46603.900653698627</v>
      </c>
      <c r="N6" s="40">
        <f>CADI!W42</f>
        <v>45067.016761643834</v>
      </c>
      <c r="O6" s="40">
        <f>CADI!X42</f>
        <v>46603.900653698627</v>
      </c>
      <c r="P6" s="43">
        <f t="shared" ref="P6:P11" si="0">SUM(D6:O6)</f>
        <v>548488.62059999979</v>
      </c>
    </row>
    <row r="7" spans="1:26" ht="15" thickBot="1" x14ac:dyDescent="0.35">
      <c r="A7" s="26"/>
      <c r="B7" s="94" t="s">
        <v>204</v>
      </c>
      <c r="C7" s="25"/>
      <c r="D7" s="43">
        <f>D1*15.87*31</f>
        <v>5903.64</v>
      </c>
      <c r="E7" s="43">
        <f>E1*15.87*28</f>
        <v>5332.32</v>
      </c>
      <c r="F7" s="43">
        <f>F1*15.87*31</f>
        <v>5903.64</v>
      </c>
      <c r="G7" s="43">
        <f>G1*15.87*30</f>
        <v>5713.2</v>
      </c>
      <c r="H7" s="43">
        <f>H1*15.87*31</f>
        <v>5903.64</v>
      </c>
      <c r="I7" s="43">
        <f>I1*15.87*30</f>
        <v>5713.2</v>
      </c>
      <c r="J7" s="43">
        <f t="shared" ref="J7:O7" si="1">J1*15.87*31</f>
        <v>5903.64</v>
      </c>
      <c r="K7" s="43">
        <f t="shared" si="1"/>
        <v>5903.64</v>
      </c>
      <c r="L7" s="43">
        <f>L1*15.87*30</f>
        <v>5713.2</v>
      </c>
      <c r="M7" s="43">
        <f t="shared" si="1"/>
        <v>5903.64</v>
      </c>
      <c r="N7" s="43">
        <f>N1*15.87*30</f>
        <v>5713.2</v>
      </c>
      <c r="O7" s="43">
        <f t="shared" si="1"/>
        <v>5903.64</v>
      </c>
      <c r="P7" s="25">
        <f t="shared" si="0"/>
        <v>69510.599999999991</v>
      </c>
    </row>
    <row r="8" spans="1:26" s="42" customFormat="1" x14ac:dyDescent="0.3">
      <c r="A8" s="26"/>
      <c r="B8" s="94" t="s">
        <v>205</v>
      </c>
      <c r="C8" s="43"/>
      <c r="D8" s="43">
        <f>D2*45</f>
        <v>675</v>
      </c>
      <c r="E8" s="43">
        <f>E2*45</f>
        <v>675</v>
      </c>
      <c r="F8" s="43">
        <f>F2*45</f>
        <v>675</v>
      </c>
      <c r="G8" s="43">
        <f t="shared" ref="G8:O8" si="2">G2*45</f>
        <v>675</v>
      </c>
      <c r="H8" s="43">
        <f t="shared" si="2"/>
        <v>675</v>
      </c>
      <c r="I8" s="43">
        <f t="shared" si="2"/>
        <v>675</v>
      </c>
      <c r="J8" s="43">
        <f t="shared" si="2"/>
        <v>675</v>
      </c>
      <c r="K8" s="43">
        <f t="shared" si="2"/>
        <v>675</v>
      </c>
      <c r="L8" s="43">
        <f t="shared" si="2"/>
        <v>675</v>
      </c>
      <c r="M8" s="43">
        <f t="shared" si="2"/>
        <v>675</v>
      </c>
      <c r="N8" s="43">
        <f t="shared" si="2"/>
        <v>675</v>
      </c>
      <c r="O8" s="43">
        <f t="shared" si="2"/>
        <v>675</v>
      </c>
      <c r="P8" s="43">
        <f t="shared" si="0"/>
        <v>8100</v>
      </c>
      <c r="S8" s="103"/>
      <c r="T8" s="177" t="s">
        <v>390</v>
      </c>
      <c r="U8" s="177"/>
      <c r="V8" s="177" t="s">
        <v>391</v>
      </c>
      <c r="W8" s="177"/>
      <c r="X8" s="177" t="s">
        <v>392</v>
      </c>
      <c r="Y8" s="177"/>
      <c r="Z8" s="178" t="s">
        <v>393</v>
      </c>
    </row>
    <row r="9" spans="1:26" x14ac:dyDescent="0.3">
      <c r="A9" s="26"/>
      <c r="B9" s="94" t="s">
        <v>4</v>
      </c>
      <c r="C9" s="25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>
        <f t="shared" si="0"/>
        <v>0</v>
      </c>
      <c r="S9" s="106"/>
      <c r="T9" s="101"/>
      <c r="U9" s="101"/>
      <c r="V9" s="101"/>
      <c r="W9" s="101"/>
      <c r="X9" s="101"/>
      <c r="Y9" s="101"/>
      <c r="Z9" s="179"/>
    </row>
    <row r="10" spans="1:26" s="42" customFormat="1" x14ac:dyDescent="0.3">
      <c r="A10" s="26"/>
      <c r="B10" s="94" t="s">
        <v>206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 t="shared" si="0"/>
        <v>0</v>
      </c>
      <c r="S10" s="106" t="s">
        <v>98</v>
      </c>
      <c r="T10" s="180">
        <v>27710</v>
      </c>
      <c r="U10" s="180"/>
      <c r="V10" s="180">
        <v>5397</v>
      </c>
      <c r="W10" s="180"/>
      <c r="X10" s="180">
        <v>770</v>
      </c>
      <c r="Y10" s="180"/>
      <c r="Z10" s="107">
        <f>V10-X10</f>
        <v>4627</v>
      </c>
    </row>
    <row r="11" spans="1:26" x14ac:dyDescent="0.3">
      <c r="A11" s="26"/>
      <c r="B11" s="94" t="s">
        <v>207</v>
      </c>
      <c r="C11" s="25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>
        <f t="shared" si="0"/>
        <v>0</v>
      </c>
      <c r="S11" s="106" t="s">
        <v>394</v>
      </c>
      <c r="T11" s="180">
        <v>247272</v>
      </c>
      <c r="U11" s="180"/>
      <c r="V11" s="180">
        <v>49535</v>
      </c>
      <c r="W11" s="180"/>
      <c r="X11" s="180">
        <v>6868</v>
      </c>
      <c r="Y11" s="180"/>
      <c r="Z11" s="107">
        <f t="shared" ref="Z11:Z12" si="3">V11-X11</f>
        <v>42667</v>
      </c>
    </row>
    <row r="12" spans="1:26" x14ac:dyDescent="0.3">
      <c r="A12" s="194" t="s">
        <v>6</v>
      </c>
      <c r="B12" s="194"/>
      <c r="C12" s="25"/>
      <c r="D12" s="28">
        <f t="shared" ref="D12:I12" si="4">SUM(D6:D11)</f>
        <v>53182.540653698627</v>
      </c>
      <c r="E12" s="28">
        <f t="shared" si="4"/>
        <v>48000.568977534247</v>
      </c>
      <c r="F12" s="28">
        <f t="shared" si="4"/>
        <v>53182.540653698627</v>
      </c>
      <c r="G12" s="28">
        <f t="shared" si="4"/>
        <v>51455.216761643831</v>
      </c>
      <c r="H12" s="28">
        <f t="shared" si="4"/>
        <v>53182.540653698627</v>
      </c>
      <c r="I12" s="28">
        <f t="shared" si="4"/>
        <v>51455.216761643831</v>
      </c>
      <c r="J12" s="28">
        <f t="shared" ref="J12:P12" si="5">SUM(J6:J11)</f>
        <v>53182.540653698627</v>
      </c>
      <c r="K12" s="28">
        <f t="shared" si="5"/>
        <v>53182.540653698627</v>
      </c>
      <c r="L12" s="28">
        <f t="shared" si="5"/>
        <v>51455.216761643831</v>
      </c>
      <c r="M12" s="28">
        <f t="shared" si="5"/>
        <v>53182.540653698627</v>
      </c>
      <c r="N12" s="28">
        <f t="shared" si="5"/>
        <v>51455.216761643831</v>
      </c>
      <c r="O12" s="28">
        <f t="shared" si="5"/>
        <v>53182.540653698627</v>
      </c>
      <c r="P12" s="28">
        <f t="shared" si="5"/>
        <v>626099.22059999977</v>
      </c>
      <c r="Q12" s="8">
        <f>P12-P6-P7-P9-P11</f>
        <v>8099.9999999999854</v>
      </c>
      <c r="S12" s="106" t="s">
        <v>395</v>
      </c>
      <c r="T12" s="122">
        <v>676394</v>
      </c>
      <c r="U12" s="122"/>
      <c r="V12" s="122">
        <v>132100</v>
      </c>
      <c r="W12" s="122"/>
      <c r="X12" s="122">
        <v>18788</v>
      </c>
      <c r="Y12" s="122"/>
      <c r="Z12" s="181">
        <f t="shared" si="3"/>
        <v>113312</v>
      </c>
    </row>
    <row r="13" spans="1:26" x14ac:dyDescent="0.3">
      <c r="A13" s="194" t="s">
        <v>7</v>
      </c>
      <c r="B13" s="194"/>
      <c r="C13" s="25"/>
      <c r="D13" s="43"/>
      <c r="E13" s="43"/>
      <c r="F13" s="43"/>
      <c r="G13" s="43"/>
      <c r="H13" s="43"/>
      <c r="I13" s="43"/>
      <c r="J13" s="25"/>
      <c r="K13" s="25"/>
      <c r="L13" s="25"/>
      <c r="M13" s="25"/>
      <c r="N13" s="25"/>
      <c r="O13" s="25"/>
      <c r="P13" s="25"/>
      <c r="S13" s="106"/>
      <c r="T13" s="180"/>
      <c r="U13" s="180"/>
      <c r="V13" s="180"/>
      <c r="W13" s="180"/>
      <c r="X13" s="180"/>
      <c r="Y13" s="180"/>
      <c r="Z13" s="107"/>
    </row>
    <row r="14" spans="1:26" x14ac:dyDescent="0.3">
      <c r="A14" s="26"/>
      <c r="B14" s="97" t="s">
        <v>8</v>
      </c>
      <c r="C14" s="25"/>
      <c r="D14" s="43">
        <v>13019</v>
      </c>
      <c r="E14" s="43">
        <v>13018</v>
      </c>
      <c r="F14" s="43">
        <v>13018</v>
      </c>
      <c r="G14" s="43">
        <v>13018</v>
      </c>
      <c r="H14" s="43">
        <v>13018</v>
      </c>
      <c r="I14" s="43">
        <v>13019</v>
      </c>
      <c r="J14" s="43">
        <v>13383</v>
      </c>
      <c r="K14" s="43">
        <v>13383</v>
      </c>
      <c r="L14" s="43">
        <v>13383</v>
      </c>
      <c r="M14" s="43">
        <v>13383</v>
      </c>
      <c r="N14" s="43">
        <v>13383</v>
      </c>
      <c r="O14" s="43">
        <v>13383</v>
      </c>
      <c r="P14" s="25">
        <f>SUM(D14:O14)</f>
        <v>158408</v>
      </c>
      <c r="S14" s="106"/>
      <c r="T14" s="182">
        <f>SUM(T10:T13)</f>
        <v>951376</v>
      </c>
      <c r="U14" s="182"/>
      <c r="V14" s="182">
        <f>SUM(V10:V13)</f>
        <v>187032</v>
      </c>
      <c r="W14" s="182"/>
      <c r="X14" s="182">
        <f>SUM(X10:X13)</f>
        <v>26426</v>
      </c>
      <c r="Y14" s="182"/>
      <c r="Z14" s="183">
        <f>SUM(Z10:Z13)</f>
        <v>160606</v>
      </c>
    </row>
    <row r="15" spans="1:26" x14ac:dyDescent="0.3">
      <c r="A15" s="26"/>
      <c r="B15" s="97" t="s">
        <v>9</v>
      </c>
      <c r="C15" s="25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25">
        <f>SUM(D15:O15)</f>
        <v>0</v>
      </c>
      <c r="S15" s="106"/>
      <c r="T15" s="101"/>
      <c r="U15" s="101"/>
      <c r="V15" s="101"/>
      <c r="W15" s="101"/>
      <c r="X15" s="101"/>
      <c r="Y15" s="101"/>
      <c r="Z15" s="179"/>
    </row>
    <row r="16" spans="1:26" ht="15" thickBot="1" x14ac:dyDescent="0.35">
      <c r="A16" s="26"/>
      <c r="B16" s="97" t="s">
        <v>219</v>
      </c>
      <c r="C16" s="25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25">
        <f>SUM(D16:O16)</f>
        <v>0</v>
      </c>
      <c r="S16" s="184" t="s">
        <v>214</v>
      </c>
      <c r="T16" s="175">
        <f>T14/36</f>
        <v>26427.111111111109</v>
      </c>
      <c r="U16" s="185"/>
      <c r="V16" s="185">
        <f>V14/T16</f>
        <v>7.0772775432636523</v>
      </c>
      <c r="W16" s="185"/>
      <c r="X16" s="185">
        <f>X14/T16</f>
        <v>0.99995795563478584</v>
      </c>
      <c r="Y16" s="185"/>
      <c r="Z16" s="186">
        <f>Z14/T16</f>
        <v>6.0773195876288666</v>
      </c>
    </row>
    <row r="17" spans="1:26" x14ac:dyDescent="0.3">
      <c r="A17" s="26"/>
      <c r="B17" s="66" t="s">
        <v>16</v>
      </c>
      <c r="C17" s="25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25">
        <f>SUM(D17:O17)</f>
        <v>0</v>
      </c>
      <c r="S17" s="42"/>
      <c r="T17" s="42"/>
      <c r="U17" s="42"/>
      <c r="V17" s="42"/>
      <c r="W17" s="42"/>
      <c r="X17" s="42"/>
      <c r="Y17" s="42"/>
      <c r="Z17" s="42"/>
    </row>
    <row r="18" spans="1:26" ht="15" thickBot="1" x14ac:dyDescent="0.35">
      <c r="A18" s="194" t="s">
        <v>10</v>
      </c>
      <c r="B18" s="194"/>
      <c r="C18" s="25"/>
      <c r="D18" s="28">
        <f t="shared" ref="D18:I18" si="6">SUM(D14:D17)</f>
        <v>13019</v>
      </c>
      <c r="E18" s="28">
        <f t="shared" si="6"/>
        <v>13018</v>
      </c>
      <c r="F18" s="28">
        <f t="shared" si="6"/>
        <v>13018</v>
      </c>
      <c r="G18" s="28">
        <f t="shared" si="6"/>
        <v>13018</v>
      </c>
      <c r="H18" s="28">
        <f t="shared" si="6"/>
        <v>13018</v>
      </c>
      <c r="I18" s="28">
        <f t="shared" si="6"/>
        <v>13019</v>
      </c>
      <c r="J18" s="28">
        <f t="shared" ref="J18:P18" si="7">SUM(J14:J17)</f>
        <v>13383</v>
      </c>
      <c r="K18" s="28">
        <f t="shared" si="7"/>
        <v>13383</v>
      </c>
      <c r="L18" s="28">
        <f t="shared" si="7"/>
        <v>13383</v>
      </c>
      <c r="M18" s="28">
        <f t="shared" si="7"/>
        <v>13383</v>
      </c>
      <c r="N18" s="28">
        <f t="shared" si="7"/>
        <v>13383</v>
      </c>
      <c r="O18" s="28">
        <f t="shared" si="7"/>
        <v>13383</v>
      </c>
      <c r="P18" s="28">
        <f t="shared" si="7"/>
        <v>158408</v>
      </c>
      <c r="Q18" s="8">
        <f>P18-P14-P15-P16-P17</f>
        <v>0</v>
      </c>
      <c r="S18" s="42"/>
      <c r="T18" s="42"/>
      <c r="U18" s="42"/>
      <c r="V18" s="43"/>
      <c r="W18" s="42"/>
      <c r="X18" s="42"/>
      <c r="Y18" s="42"/>
      <c r="Z18" s="42"/>
    </row>
    <row r="19" spans="1:26" ht="15" thickBot="1" x14ac:dyDescent="0.35">
      <c r="A19" s="194" t="s">
        <v>11</v>
      </c>
      <c r="B19" s="194"/>
      <c r="C19" s="25"/>
      <c r="D19" s="43"/>
      <c r="E19" s="43"/>
      <c r="F19" s="43"/>
      <c r="G19" s="43"/>
      <c r="H19" s="43"/>
      <c r="I19" s="43"/>
      <c r="J19" s="25"/>
      <c r="K19" s="25"/>
      <c r="L19" s="25"/>
      <c r="M19" s="25"/>
      <c r="N19" s="25"/>
      <c r="O19" s="25"/>
      <c r="P19" s="25"/>
      <c r="S19" s="103" t="s">
        <v>396</v>
      </c>
      <c r="T19" s="104"/>
      <c r="U19" s="104"/>
      <c r="V19" s="105">
        <v>160606</v>
      </c>
      <c r="W19" s="42"/>
      <c r="X19" s="42" t="s">
        <v>397</v>
      </c>
      <c r="Y19" s="42"/>
      <c r="Z19" s="42"/>
    </row>
    <row r="20" spans="1:26" x14ac:dyDescent="0.3">
      <c r="A20" s="26"/>
      <c r="B20" s="27" t="s">
        <v>12</v>
      </c>
      <c r="C20" s="25"/>
      <c r="D20" s="43"/>
      <c r="E20" s="43"/>
      <c r="F20" s="43"/>
      <c r="G20" s="43"/>
      <c r="H20" s="43"/>
      <c r="I20" s="43"/>
      <c r="J20" s="25"/>
      <c r="K20" s="25"/>
      <c r="L20" s="25"/>
      <c r="M20" s="25"/>
      <c r="N20" s="25"/>
      <c r="O20" s="25"/>
      <c r="P20" s="25">
        <f t="shared" ref="P20:P25" si="8">SUM(D20:O20)</f>
        <v>0</v>
      </c>
      <c r="S20" s="106" t="s">
        <v>398</v>
      </c>
      <c r="T20" s="101"/>
      <c r="U20" s="101"/>
      <c r="V20" s="181">
        <f>14000*6</f>
        <v>84000</v>
      </c>
      <c r="W20" s="42"/>
      <c r="X20" s="103"/>
      <c r="Y20" s="104" t="s">
        <v>218</v>
      </c>
      <c r="Z20" s="105"/>
    </row>
    <row r="21" spans="1:26" x14ac:dyDescent="0.3">
      <c r="A21" s="26"/>
      <c r="B21" s="27" t="s">
        <v>96</v>
      </c>
      <c r="C21" s="25"/>
      <c r="D21" s="43"/>
      <c r="E21" s="43"/>
      <c r="F21" s="43"/>
      <c r="G21" s="43"/>
      <c r="H21" s="43"/>
      <c r="I21" s="43"/>
      <c r="J21" s="25"/>
      <c r="K21" s="25"/>
      <c r="L21" s="25"/>
      <c r="M21" s="25"/>
      <c r="N21" s="25"/>
      <c r="O21" s="25"/>
      <c r="P21" s="25">
        <f t="shared" si="8"/>
        <v>0</v>
      </c>
      <c r="S21" s="106"/>
      <c r="T21" s="101"/>
      <c r="U21" s="101"/>
      <c r="V21" s="107"/>
      <c r="W21" s="42"/>
      <c r="X21" s="106" t="s">
        <v>211</v>
      </c>
      <c r="Y21" s="101"/>
      <c r="Z21" s="107">
        <f>96487*0.76*3</f>
        <v>219990.36</v>
      </c>
    </row>
    <row r="22" spans="1:26" ht="15" thickBot="1" x14ac:dyDescent="0.35">
      <c r="A22" s="26"/>
      <c r="B22" s="27" t="s">
        <v>97</v>
      </c>
      <c r="C22" s="25"/>
      <c r="D22" s="43"/>
      <c r="E22" s="43"/>
      <c r="F22" s="43"/>
      <c r="G22" s="43"/>
      <c r="H22" s="43"/>
      <c r="I22" s="43"/>
      <c r="J22" s="25"/>
      <c r="K22" s="25"/>
      <c r="L22" s="25"/>
      <c r="M22" s="25"/>
      <c r="N22" s="25"/>
      <c r="O22" s="25"/>
      <c r="P22" s="25">
        <f t="shared" si="8"/>
        <v>0</v>
      </c>
      <c r="S22" s="106" t="s">
        <v>399</v>
      </c>
      <c r="T22" s="101"/>
      <c r="U22" s="101"/>
      <c r="V22" s="187">
        <f>V19-V20</f>
        <v>76606</v>
      </c>
      <c r="W22" s="42"/>
      <c r="X22" s="106" t="s">
        <v>212</v>
      </c>
      <c r="Y22" s="101"/>
      <c r="Z22" s="107">
        <v>242272</v>
      </c>
    </row>
    <row r="23" spans="1:26" x14ac:dyDescent="0.3">
      <c r="A23" s="26"/>
      <c r="B23" s="27" t="s">
        <v>13</v>
      </c>
      <c r="C23" s="25"/>
      <c r="D23" s="43"/>
      <c r="E23" s="43"/>
      <c r="F23" s="43"/>
      <c r="G23" s="43"/>
      <c r="H23" s="43"/>
      <c r="I23" s="43"/>
      <c r="J23" s="25"/>
      <c r="K23" s="25"/>
      <c r="L23" s="25"/>
      <c r="M23" s="25"/>
      <c r="N23" s="25"/>
      <c r="O23" s="25"/>
      <c r="P23" s="25">
        <f t="shared" si="8"/>
        <v>0</v>
      </c>
      <c r="S23" s="106"/>
      <c r="T23" s="101"/>
      <c r="U23" s="101"/>
      <c r="V23" s="107"/>
      <c r="W23" s="42"/>
      <c r="X23" s="106" t="s">
        <v>98</v>
      </c>
      <c r="Y23" s="101"/>
      <c r="Z23" s="107">
        <v>27710</v>
      </c>
    </row>
    <row r="24" spans="1:26" x14ac:dyDescent="0.3">
      <c r="A24" s="26"/>
      <c r="B24" s="27" t="s">
        <v>14</v>
      </c>
      <c r="C24" s="25"/>
      <c r="D24" s="43"/>
      <c r="E24" s="43"/>
      <c r="F24" s="43"/>
      <c r="G24" s="43"/>
      <c r="H24" s="43"/>
      <c r="I24" s="43"/>
      <c r="J24" s="25"/>
      <c r="K24" s="25"/>
      <c r="L24" s="25"/>
      <c r="M24" s="25"/>
      <c r="N24" s="25"/>
      <c r="O24" s="25"/>
      <c r="P24" s="25">
        <f t="shared" si="8"/>
        <v>0</v>
      </c>
      <c r="S24" s="106" t="s">
        <v>214</v>
      </c>
      <c r="T24" s="101"/>
      <c r="U24" s="101"/>
      <c r="V24" s="107">
        <f>V22/6</f>
        <v>12767.666666666666</v>
      </c>
      <c r="W24" s="43" t="s">
        <v>99</v>
      </c>
      <c r="X24" s="106" t="s">
        <v>213</v>
      </c>
      <c r="Y24" s="101"/>
      <c r="Z24" s="108">
        <f>SUM(Z21:Z23)</f>
        <v>489972.36</v>
      </c>
    </row>
    <row r="25" spans="1:26" ht="15" thickBot="1" x14ac:dyDescent="0.35">
      <c r="A25" s="26"/>
      <c r="B25" s="26"/>
      <c r="C25" s="25"/>
      <c r="D25" s="43"/>
      <c r="E25" s="43"/>
      <c r="F25" s="43"/>
      <c r="G25" s="43"/>
      <c r="H25" s="43"/>
      <c r="I25" s="43"/>
      <c r="J25" s="25"/>
      <c r="K25" s="25"/>
      <c r="L25" s="25"/>
      <c r="M25" s="25"/>
      <c r="N25" s="25"/>
      <c r="O25" s="25"/>
      <c r="P25" s="25">
        <f t="shared" si="8"/>
        <v>0</v>
      </c>
      <c r="S25" s="106" t="s">
        <v>400</v>
      </c>
      <c r="T25" s="101" t="s">
        <v>401</v>
      </c>
      <c r="U25" s="101"/>
      <c r="V25" s="181">
        <v>251</v>
      </c>
      <c r="W25" s="42"/>
      <c r="X25" s="106" t="s">
        <v>214</v>
      </c>
      <c r="Y25" s="101"/>
      <c r="Z25" s="109">
        <f>Z24/36</f>
        <v>13610.343333333332</v>
      </c>
    </row>
    <row r="26" spans="1:26" x14ac:dyDescent="0.3">
      <c r="A26" s="194" t="s">
        <v>15</v>
      </c>
      <c r="B26" s="194"/>
      <c r="C26" s="25"/>
      <c r="D26" s="28">
        <f t="shared" ref="D26:I26" si="9">SUM(D20:D25)</f>
        <v>0</v>
      </c>
      <c r="E26" s="28">
        <f t="shared" si="9"/>
        <v>0</v>
      </c>
      <c r="F26" s="28">
        <f t="shared" si="9"/>
        <v>0</v>
      </c>
      <c r="G26" s="28">
        <f t="shared" si="9"/>
        <v>0</v>
      </c>
      <c r="H26" s="28">
        <f t="shared" si="9"/>
        <v>0</v>
      </c>
      <c r="I26" s="28">
        <f t="shared" si="9"/>
        <v>0</v>
      </c>
      <c r="J26" s="28">
        <f t="shared" ref="J26:P26" si="10">SUM(J20:J25)</f>
        <v>0</v>
      </c>
      <c r="K26" s="28">
        <f t="shared" si="10"/>
        <v>0</v>
      </c>
      <c r="L26" s="28">
        <f t="shared" si="10"/>
        <v>0</v>
      </c>
      <c r="M26" s="28">
        <f t="shared" si="10"/>
        <v>0</v>
      </c>
      <c r="N26" s="28">
        <f t="shared" si="10"/>
        <v>0</v>
      </c>
      <c r="O26" s="28">
        <f t="shared" si="10"/>
        <v>0</v>
      </c>
      <c r="P26" s="28">
        <f t="shared" si="10"/>
        <v>0</v>
      </c>
      <c r="Q26" s="8">
        <f>SUM(P20:P25)-P26</f>
        <v>0</v>
      </c>
      <c r="S26" s="106"/>
      <c r="T26" s="101"/>
      <c r="U26" s="101"/>
      <c r="V26" s="107"/>
      <c r="W26" s="42"/>
      <c r="X26" s="106"/>
      <c r="Y26" s="101"/>
      <c r="Z26" s="107"/>
    </row>
    <row r="27" spans="1:26" x14ac:dyDescent="0.3">
      <c r="A27" s="194" t="s">
        <v>16</v>
      </c>
      <c r="B27" s="194"/>
      <c r="C27" s="25"/>
      <c r="D27" s="43"/>
      <c r="E27" s="43"/>
      <c r="F27" s="43"/>
      <c r="G27" s="43"/>
      <c r="H27" s="43"/>
      <c r="I27" s="43"/>
      <c r="J27" s="25"/>
      <c r="K27" s="25"/>
      <c r="L27" s="25"/>
      <c r="M27" s="25"/>
      <c r="N27" s="25"/>
      <c r="O27" s="25"/>
      <c r="P27" s="25"/>
      <c r="S27" s="106" t="s">
        <v>402</v>
      </c>
      <c r="T27" s="101"/>
      <c r="U27" s="101"/>
      <c r="V27" s="191">
        <f>SUM(V24:V26)</f>
        <v>13018.666666666666</v>
      </c>
      <c r="W27" s="42"/>
      <c r="X27" s="106" t="s">
        <v>215</v>
      </c>
      <c r="Y27" s="101"/>
      <c r="Z27" s="107">
        <v>951376</v>
      </c>
    </row>
    <row r="28" spans="1:26" x14ac:dyDescent="0.3">
      <c r="A28" s="27" t="s">
        <v>17</v>
      </c>
      <c r="B28" s="27" t="s">
        <v>18</v>
      </c>
      <c r="C28" s="25"/>
      <c r="D28" s="43"/>
      <c r="E28" s="43"/>
      <c r="F28" s="43"/>
      <c r="G28" s="43"/>
      <c r="H28" s="43"/>
      <c r="I28" s="43"/>
      <c r="J28" s="25"/>
      <c r="K28" s="25"/>
      <c r="L28" s="25"/>
      <c r="M28" s="25"/>
      <c r="N28" s="25"/>
      <c r="O28" s="43">
        <f>12298*1.03*1.03</f>
        <v>13046.948200000001</v>
      </c>
      <c r="P28" s="25">
        <f>SUM(D28:O28)</f>
        <v>13046.948200000001</v>
      </c>
      <c r="S28" s="106"/>
      <c r="T28" s="101"/>
      <c r="U28" s="101"/>
      <c r="V28" s="107"/>
      <c r="W28" s="42"/>
      <c r="X28" s="106" t="s">
        <v>216</v>
      </c>
      <c r="Y28" s="101"/>
      <c r="Z28" s="107">
        <f>-1*Z24</f>
        <v>-489972.36</v>
      </c>
    </row>
    <row r="29" spans="1:26" x14ac:dyDescent="0.3">
      <c r="A29" s="27" t="s">
        <v>17</v>
      </c>
      <c r="B29" s="27" t="s">
        <v>19</v>
      </c>
      <c r="C29" s="25"/>
      <c r="D29" s="43"/>
      <c r="E29" s="43"/>
      <c r="F29" s="43"/>
      <c r="G29" s="43"/>
      <c r="H29" s="43"/>
      <c r="I29" s="43"/>
      <c r="J29" s="25"/>
      <c r="K29" s="25"/>
      <c r="L29" s="25"/>
      <c r="M29" s="25"/>
      <c r="N29" s="25"/>
      <c r="O29" s="25"/>
      <c r="P29" s="25">
        <f>SUM(D29:O29)</f>
        <v>0</v>
      </c>
      <c r="S29" s="106" t="s">
        <v>403</v>
      </c>
      <c r="T29" s="101"/>
      <c r="U29" s="101"/>
      <c r="V29" s="107">
        <v>364</v>
      </c>
      <c r="W29" s="42"/>
      <c r="X29" s="106" t="s">
        <v>217</v>
      </c>
      <c r="Y29" s="101"/>
      <c r="Z29" s="107">
        <f>SUM(Z27:Z28)</f>
        <v>461403.64</v>
      </c>
    </row>
    <row r="30" spans="1:26" ht="15" thickBot="1" x14ac:dyDescent="0.35">
      <c r="A30" s="27" t="s">
        <v>17</v>
      </c>
      <c r="B30" s="27" t="s">
        <v>20</v>
      </c>
      <c r="C30" s="25"/>
      <c r="D30" s="43"/>
      <c r="E30" s="43"/>
      <c r="F30" s="43"/>
      <c r="G30" s="43"/>
      <c r="H30" s="43"/>
      <c r="I30" s="43"/>
      <c r="J30" s="25"/>
      <c r="K30" s="25"/>
      <c r="L30" s="25"/>
      <c r="M30" s="25"/>
      <c r="N30" s="25"/>
      <c r="O30" s="25"/>
      <c r="P30" s="25">
        <f>SUM(D30:O30)</f>
        <v>0</v>
      </c>
      <c r="S30" s="106"/>
      <c r="T30" s="101"/>
      <c r="U30" s="101"/>
      <c r="V30" s="107"/>
      <c r="W30" s="42"/>
      <c r="X30" s="110" t="s">
        <v>214</v>
      </c>
      <c r="Y30" s="102"/>
      <c r="Z30" s="111">
        <f>Z29/36</f>
        <v>12816.767777777779</v>
      </c>
    </row>
    <row r="31" spans="1:26" x14ac:dyDescent="0.3">
      <c r="A31" s="27" t="s">
        <v>17</v>
      </c>
      <c r="B31" s="27" t="s">
        <v>21</v>
      </c>
      <c r="C31" s="25"/>
      <c r="D31" s="43"/>
      <c r="E31" s="43"/>
      <c r="F31" s="43"/>
      <c r="G31" s="43"/>
      <c r="H31" s="43"/>
      <c r="I31" s="43"/>
      <c r="J31" s="25"/>
      <c r="K31" s="25"/>
      <c r="L31" s="25"/>
      <c r="M31" s="25"/>
      <c r="N31" s="25"/>
      <c r="O31" s="25"/>
      <c r="P31" s="25">
        <f>SUM(D31:O31)</f>
        <v>0</v>
      </c>
      <c r="S31" s="106" t="s">
        <v>404</v>
      </c>
      <c r="T31" s="101"/>
      <c r="U31" s="101"/>
      <c r="V31" s="191">
        <f>SUM(V27:V29)</f>
        <v>13382.666666666666</v>
      </c>
      <c r="W31" s="42"/>
      <c r="X31" s="42"/>
      <c r="Y31" s="42"/>
      <c r="Z31" s="42"/>
    </row>
    <row r="32" spans="1:26" x14ac:dyDescent="0.3">
      <c r="A32" s="26"/>
      <c r="B32" s="26"/>
      <c r="C32" s="25"/>
      <c r="D32" s="30">
        <f t="shared" ref="D32:I32" si="11">D12+D18+D26+D28+D29+D30+D31</f>
        <v>66201.540653698627</v>
      </c>
      <c r="E32" s="30">
        <f t="shared" si="11"/>
        <v>61018.568977534247</v>
      </c>
      <c r="F32" s="30">
        <f t="shared" si="11"/>
        <v>66200.540653698627</v>
      </c>
      <c r="G32" s="30">
        <f t="shared" si="11"/>
        <v>64473.216761643831</v>
      </c>
      <c r="H32" s="30">
        <f t="shared" si="11"/>
        <v>66200.540653698627</v>
      </c>
      <c r="I32" s="30">
        <f t="shared" si="11"/>
        <v>64474.216761643831</v>
      </c>
      <c r="J32" s="30">
        <f t="shared" ref="J32:P32" si="12">J12+J18+J26+J28+J29+J30+J31</f>
        <v>66565.540653698627</v>
      </c>
      <c r="K32" s="30">
        <f t="shared" si="12"/>
        <v>66565.540653698627</v>
      </c>
      <c r="L32" s="30">
        <f t="shared" si="12"/>
        <v>64838.216761643831</v>
      </c>
      <c r="M32" s="30">
        <f t="shared" si="12"/>
        <v>66565.540653698627</v>
      </c>
      <c r="N32" s="30">
        <f t="shared" si="12"/>
        <v>64838.216761643831</v>
      </c>
      <c r="O32" s="30">
        <f t="shared" si="12"/>
        <v>79612.488853698625</v>
      </c>
      <c r="P32" s="30">
        <f t="shared" si="12"/>
        <v>797554.16879999975</v>
      </c>
      <c r="Q32" s="8">
        <f>SUM(P28:P31)*P32</f>
        <v>10405647927.027653</v>
      </c>
      <c r="S32" s="106"/>
      <c r="T32" s="101"/>
      <c r="U32" s="101"/>
      <c r="V32" s="107"/>
      <c r="W32" s="42"/>
      <c r="X32" s="42"/>
      <c r="Y32" s="42"/>
      <c r="Z32" s="42"/>
    </row>
    <row r="33" spans="1:26" ht="16.350000000000001" customHeight="1" x14ac:dyDescent="0.3">
      <c r="A33" s="26"/>
      <c r="B33" s="26"/>
      <c r="C33" s="25"/>
      <c r="D33" s="43"/>
      <c r="E33" s="43"/>
      <c r="F33" s="43"/>
      <c r="G33" s="43"/>
      <c r="H33" s="43"/>
      <c r="I33" s="43"/>
      <c r="J33" s="25"/>
      <c r="K33" s="25"/>
      <c r="L33" s="25"/>
      <c r="M33" s="25"/>
      <c r="N33" s="25"/>
      <c r="O33" s="25"/>
      <c r="P33" s="25"/>
      <c r="S33" s="106" t="s">
        <v>405</v>
      </c>
      <c r="T33" s="101"/>
      <c r="U33" s="101"/>
      <c r="V33" s="107">
        <f>(V27+V31)*6</f>
        <v>158408</v>
      </c>
      <c r="W33" s="42"/>
      <c r="X33" s="42"/>
      <c r="Y33" s="42"/>
      <c r="Z33" s="42"/>
    </row>
    <row r="34" spans="1:26" x14ac:dyDescent="0.3">
      <c r="A34" s="194" t="s">
        <v>22</v>
      </c>
      <c r="B34" s="194"/>
      <c r="C34" s="25"/>
      <c r="D34" s="43"/>
      <c r="E34" s="43"/>
      <c r="F34" s="43"/>
      <c r="G34" s="43"/>
      <c r="H34" s="43"/>
      <c r="I34" s="43"/>
      <c r="J34" s="25"/>
      <c r="K34" s="25"/>
      <c r="L34" s="25"/>
      <c r="M34" s="25"/>
      <c r="N34" s="25"/>
      <c r="O34" s="25"/>
      <c r="P34" s="25"/>
      <c r="S34" s="106"/>
      <c r="T34" s="101"/>
      <c r="U34" s="101"/>
      <c r="V34" s="107"/>
      <c r="W34" s="42"/>
      <c r="X34" s="42"/>
      <c r="Y34" s="42"/>
      <c r="Z34" s="42"/>
    </row>
    <row r="35" spans="1:26" x14ac:dyDescent="0.3">
      <c r="A35" s="26"/>
      <c r="B35" s="27" t="s">
        <v>23</v>
      </c>
      <c r="C35" s="25"/>
      <c r="D35" s="43">
        <f>Sheet22!I50</f>
        <v>31945.910400000001</v>
      </c>
      <c r="E35" s="43">
        <f>Sheet22!J50</f>
        <v>31945.910400000001</v>
      </c>
      <c r="F35" s="43">
        <f>Sheet22!K50</f>
        <v>47918.865600000005</v>
      </c>
      <c r="G35" s="43">
        <f>Sheet22!L50</f>
        <v>31945.910400000001</v>
      </c>
      <c r="H35" s="43">
        <f>Sheet22!M50</f>
        <v>31945.910400000001</v>
      </c>
      <c r="I35" s="43">
        <f>Sheet22!N50</f>
        <v>31945.910400000001</v>
      </c>
      <c r="J35" s="43">
        <f>Sheet22!O50</f>
        <v>31945.910400000001</v>
      </c>
      <c r="K35" s="43">
        <f>Sheet22!P50</f>
        <v>47918.865600000005</v>
      </c>
      <c r="L35" s="43">
        <f>Sheet22!Q50</f>
        <v>31945.910400000001</v>
      </c>
      <c r="M35" s="43">
        <f>Sheet22!R50</f>
        <v>31945.910400000001</v>
      </c>
      <c r="N35" s="43">
        <f>Sheet22!S50</f>
        <v>31945.910400000001</v>
      </c>
      <c r="O35" s="43">
        <f>Sheet22!T50</f>
        <v>31945.910400000001</v>
      </c>
      <c r="P35" s="43">
        <f t="shared" ref="P35:P42" si="13">SUM(D35:O35)</f>
        <v>415296.83519999997</v>
      </c>
      <c r="S35" s="106" t="s">
        <v>382</v>
      </c>
      <c r="T35" s="101"/>
      <c r="U35" s="101"/>
      <c r="V35" s="107">
        <v>163428</v>
      </c>
      <c r="W35" s="42"/>
      <c r="X35" s="42"/>
      <c r="Y35" s="42"/>
      <c r="Z35" s="42"/>
    </row>
    <row r="36" spans="1:26" ht="15" thickBot="1" x14ac:dyDescent="0.35">
      <c r="A36" s="26"/>
      <c r="B36" s="27" t="s">
        <v>24</v>
      </c>
      <c r="C36" s="25"/>
      <c r="D36" s="43">
        <f>D35*0.0735</f>
        <v>2348.0244143999998</v>
      </c>
      <c r="E36" s="43">
        <f t="shared" ref="E36:O36" si="14">E35*0.0735</f>
        <v>2348.0244143999998</v>
      </c>
      <c r="F36" s="43">
        <f t="shared" si="14"/>
        <v>3522.0366216000002</v>
      </c>
      <c r="G36" s="43">
        <f t="shared" si="14"/>
        <v>2348.0244143999998</v>
      </c>
      <c r="H36" s="43">
        <f t="shared" si="14"/>
        <v>2348.0244143999998</v>
      </c>
      <c r="I36" s="43">
        <f t="shared" si="14"/>
        <v>2348.0244143999998</v>
      </c>
      <c r="J36" s="43">
        <f t="shared" si="14"/>
        <v>2348.0244143999998</v>
      </c>
      <c r="K36" s="43">
        <f t="shared" si="14"/>
        <v>3522.0366216000002</v>
      </c>
      <c r="L36" s="43">
        <f t="shared" si="14"/>
        <v>2348.0244143999998</v>
      </c>
      <c r="M36" s="43">
        <f t="shared" si="14"/>
        <v>2348.0244143999998</v>
      </c>
      <c r="N36" s="43">
        <f t="shared" si="14"/>
        <v>2348.0244143999998</v>
      </c>
      <c r="O36" s="43">
        <f t="shared" si="14"/>
        <v>2348.0244143999998</v>
      </c>
      <c r="P36" s="43">
        <f t="shared" si="13"/>
        <v>30524.317387199993</v>
      </c>
      <c r="S36" s="106"/>
      <c r="T36" s="101"/>
      <c r="U36" s="101"/>
      <c r="V36" s="107"/>
      <c r="W36" s="42"/>
      <c r="X36" s="42"/>
      <c r="Y36" s="42"/>
      <c r="Z36" s="42"/>
    </row>
    <row r="37" spans="1:26" ht="15" thickBot="1" x14ac:dyDescent="0.35">
      <c r="A37" s="26"/>
      <c r="B37" s="27" t="s">
        <v>25</v>
      </c>
      <c r="C37" s="25"/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25">
        <f t="shared" si="13"/>
        <v>0</v>
      </c>
      <c r="S37" s="188" t="s">
        <v>406</v>
      </c>
      <c r="T37" s="189"/>
      <c r="U37" s="189"/>
      <c r="V37" s="190">
        <f>V33-V35</f>
        <v>-5020</v>
      </c>
      <c r="W37" s="42"/>
      <c r="X37" s="42"/>
      <c r="Y37" s="42"/>
      <c r="Z37" s="42"/>
    </row>
    <row r="38" spans="1:26" x14ac:dyDescent="0.3">
      <c r="A38" s="26"/>
      <c r="B38" s="27" t="s">
        <v>26</v>
      </c>
      <c r="C38" s="25"/>
      <c r="D38" s="43">
        <f>D35*0.12042</f>
        <v>3846.9265303679999</v>
      </c>
      <c r="E38" s="43">
        <f>E35*0.120421</f>
        <v>3846.9584762784002</v>
      </c>
      <c r="F38" s="43">
        <f t="shared" ref="F38:O38" si="15">F35*0.120421</f>
        <v>5770.4377144176005</v>
      </c>
      <c r="G38" s="43">
        <f t="shared" si="15"/>
        <v>3846.9584762784002</v>
      </c>
      <c r="H38" s="43">
        <f t="shared" si="15"/>
        <v>3846.9584762784002</v>
      </c>
      <c r="I38" s="43">
        <f t="shared" si="15"/>
        <v>3846.9584762784002</v>
      </c>
      <c r="J38" s="43">
        <f t="shared" si="15"/>
        <v>3846.9584762784002</v>
      </c>
      <c r="K38" s="43">
        <f t="shared" si="15"/>
        <v>5770.4377144176005</v>
      </c>
      <c r="L38" s="43">
        <f t="shared" si="15"/>
        <v>3846.9584762784002</v>
      </c>
      <c r="M38" s="43">
        <f t="shared" si="15"/>
        <v>3846.9584762784002</v>
      </c>
      <c r="N38" s="43">
        <f t="shared" si="15"/>
        <v>3846.9584762784002</v>
      </c>
      <c r="O38" s="43">
        <f t="shared" si="15"/>
        <v>3846.9584762784002</v>
      </c>
      <c r="P38" s="25">
        <f t="shared" si="13"/>
        <v>50010.428245708797</v>
      </c>
      <c r="S38" s="42"/>
      <c r="T38" s="42"/>
    </row>
    <row r="39" spans="1:26" x14ac:dyDescent="0.3">
      <c r="A39" s="26"/>
      <c r="B39" s="27" t="s">
        <v>27</v>
      </c>
      <c r="C39" s="25"/>
      <c r="D39" s="43">
        <f>D35*0.0112</f>
        <v>357.79419647999998</v>
      </c>
      <c r="E39" s="43">
        <f t="shared" ref="E39:O39" si="16">E35*0.0112</f>
        <v>357.79419647999998</v>
      </c>
      <c r="F39" s="43">
        <f t="shared" si="16"/>
        <v>536.69129472000009</v>
      </c>
      <c r="G39" s="43">
        <f t="shared" si="16"/>
        <v>357.79419647999998</v>
      </c>
      <c r="H39" s="43">
        <f t="shared" si="16"/>
        <v>357.79419647999998</v>
      </c>
      <c r="I39" s="43">
        <f t="shared" si="16"/>
        <v>357.79419647999998</v>
      </c>
      <c r="J39" s="43">
        <f t="shared" si="16"/>
        <v>357.79419647999998</v>
      </c>
      <c r="K39" s="43">
        <f t="shared" si="16"/>
        <v>536.69129472000009</v>
      </c>
      <c r="L39" s="43">
        <f t="shared" si="16"/>
        <v>357.79419647999998</v>
      </c>
      <c r="M39" s="43">
        <f t="shared" si="16"/>
        <v>357.79419647999998</v>
      </c>
      <c r="N39" s="43">
        <f t="shared" si="16"/>
        <v>357.79419647999998</v>
      </c>
      <c r="O39" s="43">
        <f t="shared" si="16"/>
        <v>357.79419647999998</v>
      </c>
      <c r="P39" s="25">
        <f t="shared" si="13"/>
        <v>4651.3245542400009</v>
      </c>
      <c r="Q39" s="65">
        <f>P39/P35</f>
        <v>1.1200000000000003E-2</v>
      </c>
      <c r="S39" s="42"/>
      <c r="T39" s="42"/>
    </row>
    <row r="40" spans="1:26" x14ac:dyDescent="0.3">
      <c r="A40" s="26"/>
      <c r="B40" s="27" t="s">
        <v>28</v>
      </c>
      <c r="C40" s="25"/>
      <c r="D40" s="43">
        <f>D35*0.028</f>
        <v>894.48549120000007</v>
      </c>
      <c r="E40" s="43">
        <f t="shared" ref="E40:O40" si="17">E35*0.028</f>
        <v>894.48549120000007</v>
      </c>
      <c r="F40" s="43">
        <f t="shared" si="17"/>
        <v>1341.7282368000001</v>
      </c>
      <c r="G40" s="43">
        <f t="shared" si="17"/>
        <v>894.48549120000007</v>
      </c>
      <c r="H40" s="43">
        <f t="shared" si="17"/>
        <v>894.48549120000007</v>
      </c>
      <c r="I40" s="43">
        <f t="shared" si="17"/>
        <v>894.48549120000007</v>
      </c>
      <c r="J40" s="43">
        <f t="shared" si="17"/>
        <v>894.48549120000007</v>
      </c>
      <c r="K40" s="43">
        <f t="shared" si="17"/>
        <v>1341.7282368000001</v>
      </c>
      <c r="L40" s="43">
        <f t="shared" si="17"/>
        <v>894.48549120000007</v>
      </c>
      <c r="M40" s="43">
        <f t="shared" si="17"/>
        <v>894.48549120000007</v>
      </c>
      <c r="N40" s="43">
        <f t="shared" si="17"/>
        <v>894.48549120000007</v>
      </c>
      <c r="O40" s="43">
        <f t="shared" si="17"/>
        <v>894.48549120000007</v>
      </c>
      <c r="P40" s="25">
        <f t="shared" si="13"/>
        <v>11628.311385600002</v>
      </c>
      <c r="S40" s="42"/>
      <c r="T40" s="42"/>
    </row>
    <row r="41" spans="1:26" x14ac:dyDescent="0.3">
      <c r="A41" s="26"/>
      <c r="B41" s="27" t="s">
        <v>29</v>
      </c>
      <c r="C41" s="25"/>
      <c r="D41" s="43">
        <f>D35*0.01373</f>
        <v>438.61734979199997</v>
      </c>
      <c r="E41" s="43">
        <f t="shared" ref="E41:O41" si="18">E35*0.01373</f>
        <v>438.61734979199997</v>
      </c>
      <c r="F41" s="43">
        <f t="shared" si="18"/>
        <v>657.92602468799998</v>
      </c>
      <c r="G41" s="43">
        <f t="shared" si="18"/>
        <v>438.61734979199997</v>
      </c>
      <c r="H41" s="43">
        <f t="shared" si="18"/>
        <v>438.61734979199997</v>
      </c>
      <c r="I41" s="43">
        <f t="shared" si="18"/>
        <v>438.61734979199997</v>
      </c>
      <c r="J41" s="43">
        <f t="shared" si="18"/>
        <v>438.61734979199997</v>
      </c>
      <c r="K41" s="43">
        <f t="shared" si="18"/>
        <v>657.92602468799998</v>
      </c>
      <c r="L41" s="43">
        <f t="shared" si="18"/>
        <v>438.61734979199997</v>
      </c>
      <c r="M41" s="43">
        <f t="shared" si="18"/>
        <v>438.61734979199997</v>
      </c>
      <c r="N41" s="43">
        <f t="shared" si="18"/>
        <v>438.61734979199997</v>
      </c>
      <c r="O41" s="43">
        <f t="shared" si="18"/>
        <v>438.61734979199997</v>
      </c>
      <c r="P41" s="25">
        <f t="shared" si="13"/>
        <v>5702.0255472959998</v>
      </c>
      <c r="S41" s="42"/>
      <c r="T41" s="42"/>
    </row>
    <row r="42" spans="1:26" x14ac:dyDescent="0.3">
      <c r="A42" s="26"/>
      <c r="B42" s="27" t="s">
        <v>30</v>
      </c>
      <c r="C42" s="25"/>
      <c r="D42" s="43"/>
      <c r="E42" s="43"/>
      <c r="F42" s="43"/>
      <c r="G42" s="43"/>
      <c r="H42" s="43"/>
      <c r="I42" s="43"/>
      <c r="J42" s="25"/>
      <c r="K42" s="25"/>
      <c r="L42" s="25"/>
      <c r="M42" s="25"/>
      <c r="N42" s="25"/>
      <c r="O42" s="25"/>
      <c r="P42" s="25">
        <f t="shared" si="13"/>
        <v>0</v>
      </c>
      <c r="S42" s="42"/>
      <c r="T42" s="42"/>
    </row>
    <row r="43" spans="1:26" x14ac:dyDescent="0.3">
      <c r="A43" s="194" t="s">
        <v>31</v>
      </c>
      <c r="B43" s="194"/>
      <c r="C43" s="25"/>
      <c r="D43" s="28">
        <f t="shared" ref="D43:I43" si="19">SUM(D35:D42)</f>
        <v>39831.758382240005</v>
      </c>
      <c r="E43" s="28">
        <f t="shared" si="19"/>
        <v>39831.790328150404</v>
      </c>
      <c r="F43" s="28">
        <f t="shared" si="19"/>
        <v>59747.68549222561</v>
      </c>
      <c r="G43" s="28">
        <f t="shared" si="19"/>
        <v>39831.790328150404</v>
      </c>
      <c r="H43" s="28">
        <f t="shared" si="19"/>
        <v>39831.790328150404</v>
      </c>
      <c r="I43" s="28">
        <f t="shared" si="19"/>
        <v>39831.790328150404</v>
      </c>
      <c r="J43" s="28">
        <f t="shared" ref="J43:P43" si="20">SUM(J35:J42)</f>
        <v>39831.790328150404</v>
      </c>
      <c r="K43" s="28">
        <f t="shared" si="20"/>
        <v>59747.68549222561</v>
      </c>
      <c r="L43" s="28">
        <f t="shared" si="20"/>
        <v>39831.790328150404</v>
      </c>
      <c r="M43" s="28">
        <f t="shared" si="20"/>
        <v>39831.790328150404</v>
      </c>
      <c r="N43" s="28">
        <f t="shared" si="20"/>
        <v>39831.790328150404</v>
      </c>
      <c r="O43" s="28">
        <f t="shared" si="20"/>
        <v>39831.790328150404</v>
      </c>
      <c r="P43" s="28">
        <f t="shared" si="20"/>
        <v>517813.24232004478</v>
      </c>
      <c r="Q43" s="8">
        <f>SUM(P35:P42)</f>
        <v>517813.24232004478</v>
      </c>
      <c r="S43" s="42"/>
      <c r="T43" s="42"/>
    </row>
    <row r="44" spans="1:26" x14ac:dyDescent="0.3">
      <c r="A44" s="194" t="s">
        <v>32</v>
      </c>
      <c r="B44" s="194"/>
      <c r="C44" s="25"/>
      <c r="D44" s="43"/>
      <c r="E44" s="43"/>
      <c r="F44" s="43"/>
      <c r="G44" s="43"/>
      <c r="H44" s="43"/>
      <c r="I44" s="43"/>
      <c r="J44" s="25"/>
      <c r="K44" s="25"/>
      <c r="L44" s="25"/>
      <c r="M44" s="25"/>
      <c r="N44" s="25"/>
      <c r="O44" s="25"/>
      <c r="P44" s="25"/>
      <c r="S44" s="42"/>
      <c r="T44" s="42"/>
    </row>
    <row r="45" spans="1:26" x14ac:dyDescent="0.3">
      <c r="A45" s="26"/>
      <c r="B45" s="27" t="s">
        <v>33</v>
      </c>
      <c r="C45" s="25"/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f t="shared" ref="P45:P51" si="21">SUM(D45:O45)</f>
        <v>0</v>
      </c>
      <c r="S45" s="42"/>
      <c r="T45" s="42"/>
    </row>
    <row r="46" spans="1:26" x14ac:dyDescent="0.3">
      <c r="A46" s="26"/>
      <c r="B46" s="27" t="s">
        <v>34</v>
      </c>
      <c r="C46" s="25"/>
      <c r="D46" s="43">
        <v>250</v>
      </c>
      <c r="E46" s="43">
        <v>250</v>
      </c>
      <c r="F46" s="43">
        <v>250</v>
      </c>
      <c r="G46" s="43">
        <v>250</v>
      </c>
      <c r="H46" s="43">
        <v>250</v>
      </c>
      <c r="I46" s="43">
        <v>250</v>
      </c>
      <c r="J46" s="43">
        <v>250</v>
      </c>
      <c r="K46" s="43">
        <v>250</v>
      </c>
      <c r="L46" s="43">
        <v>250</v>
      </c>
      <c r="M46" s="43">
        <v>250</v>
      </c>
      <c r="N46" s="43">
        <v>250</v>
      </c>
      <c r="O46" s="43">
        <v>250</v>
      </c>
      <c r="P46" s="43">
        <f t="shared" si="21"/>
        <v>3000</v>
      </c>
      <c r="S46" s="42"/>
      <c r="T46" s="42"/>
    </row>
    <row r="47" spans="1:26" x14ac:dyDescent="0.3">
      <c r="A47" s="26"/>
      <c r="B47" s="27" t="s">
        <v>35</v>
      </c>
      <c r="C47" s="25"/>
      <c r="D47" s="43">
        <v>254</v>
      </c>
      <c r="E47" s="43">
        <v>254</v>
      </c>
      <c r="F47" s="43">
        <v>254</v>
      </c>
      <c r="G47" s="43">
        <v>254</v>
      </c>
      <c r="H47" s="43">
        <v>254</v>
      </c>
      <c r="I47" s="43">
        <v>254</v>
      </c>
      <c r="J47" s="43">
        <v>254</v>
      </c>
      <c r="K47" s="43">
        <v>254</v>
      </c>
      <c r="L47" s="43">
        <v>254</v>
      </c>
      <c r="M47" s="43">
        <v>254</v>
      </c>
      <c r="N47" s="43">
        <v>254</v>
      </c>
      <c r="O47" s="43">
        <v>254</v>
      </c>
      <c r="P47" s="43">
        <f t="shared" si="21"/>
        <v>3048</v>
      </c>
      <c r="S47" s="42"/>
      <c r="T47" s="42"/>
    </row>
    <row r="48" spans="1:26" x14ac:dyDescent="0.3">
      <c r="A48" s="26"/>
      <c r="B48" s="27" t="s">
        <v>36</v>
      </c>
      <c r="C48" s="25"/>
      <c r="D48" s="43">
        <v>100</v>
      </c>
      <c r="E48" s="43">
        <v>100</v>
      </c>
      <c r="F48" s="43">
        <v>100</v>
      </c>
      <c r="G48" s="43">
        <v>100</v>
      </c>
      <c r="H48" s="43">
        <v>100</v>
      </c>
      <c r="I48" s="43">
        <v>100</v>
      </c>
      <c r="J48" s="43">
        <v>100</v>
      </c>
      <c r="K48" s="43">
        <v>100</v>
      </c>
      <c r="L48" s="43">
        <v>100</v>
      </c>
      <c r="M48" s="43">
        <v>100</v>
      </c>
      <c r="N48" s="43">
        <v>100</v>
      </c>
      <c r="O48" s="43">
        <v>100</v>
      </c>
      <c r="P48" s="43">
        <f t="shared" si="21"/>
        <v>1200</v>
      </c>
      <c r="S48" s="42"/>
      <c r="T48" s="42"/>
    </row>
    <row r="49" spans="1:21" x14ac:dyDescent="0.3">
      <c r="A49" s="26"/>
      <c r="B49" s="27" t="s">
        <v>37</v>
      </c>
      <c r="C49" s="25"/>
      <c r="D49" s="43">
        <v>100</v>
      </c>
      <c r="E49" s="43">
        <v>100</v>
      </c>
      <c r="F49" s="43">
        <v>100</v>
      </c>
      <c r="G49" s="43">
        <v>100</v>
      </c>
      <c r="H49" s="43">
        <v>100</v>
      </c>
      <c r="I49" s="43">
        <v>100</v>
      </c>
      <c r="J49" s="43">
        <v>100</v>
      </c>
      <c r="K49" s="43">
        <v>100</v>
      </c>
      <c r="L49" s="43">
        <v>100</v>
      </c>
      <c r="M49" s="43">
        <v>100</v>
      </c>
      <c r="N49" s="43">
        <v>100</v>
      </c>
      <c r="O49" s="43">
        <v>100</v>
      </c>
      <c r="P49" s="43">
        <f t="shared" si="21"/>
        <v>1200</v>
      </c>
      <c r="S49" s="42"/>
      <c r="T49" s="42"/>
    </row>
    <row r="50" spans="1:21" s="42" customFormat="1" x14ac:dyDescent="0.3">
      <c r="A50" s="26"/>
      <c r="B50" s="92" t="s">
        <v>194</v>
      </c>
      <c r="C50" s="43"/>
      <c r="D50" s="43">
        <v>400</v>
      </c>
      <c r="E50" s="43">
        <v>400</v>
      </c>
      <c r="F50" s="43">
        <v>400</v>
      </c>
      <c r="G50" s="43">
        <v>400</v>
      </c>
      <c r="H50" s="43">
        <v>400</v>
      </c>
      <c r="I50" s="43">
        <v>400</v>
      </c>
      <c r="J50" s="43">
        <v>400</v>
      </c>
      <c r="K50" s="43">
        <v>400</v>
      </c>
      <c r="L50" s="43">
        <v>400</v>
      </c>
      <c r="M50" s="43">
        <v>400</v>
      </c>
      <c r="N50" s="43">
        <v>400</v>
      </c>
      <c r="O50" s="43">
        <v>400</v>
      </c>
      <c r="P50" s="43">
        <f t="shared" si="21"/>
        <v>4800</v>
      </c>
      <c r="U50" s="43"/>
    </row>
    <row r="51" spans="1:21" x14ac:dyDescent="0.3">
      <c r="A51" s="26"/>
      <c r="B51" s="27" t="s">
        <v>38</v>
      </c>
      <c r="C51" s="25"/>
      <c r="D51" s="43">
        <v>216</v>
      </c>
      <c r="E51" s="43">
        <v>216</v>
      </c>
      <c r="F51" s="43">
        <v>216</v>
      </c>
      <c r="G51" s="43">
        <v>216</v>
      </c>
      <c r="H51" s="43">
        <v>216</v>
      </c>
      <c r="I51" s="43">
        <v>216</v>
      </c>
      <c r="J51" s="43">
        <v>216</v>
      </c>
      <c r="K51" s="43">
        <v>216</v>
      </c>
      <c r="L51" s="43">
        <v>216</v>
      </c>
      <c r="M51" s="43">
        <v>216</v>
      </c>
      <c r="N51" s="43">
        <v>216</v>
      </c>
      <c r="O51" s="43">
        <v>216</v>
      </c>
      <c r="P51" s="43">
        <f t="shared" si="21"/>
        <v>2592</v>
      </c>
      <c r="S51" s="42"/>
      <c r="T51" s="42"/>
    </row>
    <row r="52" spans="1:21" x14ac:dyDescent="0.3">
      <c r="A52" s="26"/>
      <c r="B52" s="27" t="s">
        <v>39</v>
      </c>
      <c r="C52" s="25"/>
      <c r="D52" s="43">
        <v>500</v>
      </c>
      <c r="E52" s="43">
        <v>500</v>
      </c>
      <c r="F52" s="43">
        <v>500</v>
      </c>
      <c r="G52" s="43">
        <v>500</v>
      </c>
      <c r="H52" s="43">
        <v>500</v>
      </c>
      <c r="I52" s="43">
        <v>500</v>
      </c>
      <c r="J52" s="43">
        <v>500</v>
      </c>
      <c r="K52" s="43">
        <v>500</v>
      </c>
      <c r="L52" s="43">
        <v>500</v>
      </c>
      <c r="M52" s="43">
        <v>500</v>
      </c>
      <c r="N52" s="43">
        <v>500</v>
      </c>
      <c r="O52" s="43">
        <v>500</v>
      </c>
      <c r="P52" s="43">
        <f>SUM(D52:O52)</f>
        <v>6000</v>
      </c>
    </row>
    <row r="53" spans="1:21" x14ac:dyDescent="0.3">
      <c r="A53" s="194" t="s">
        <v>40</v>
      </c>
      <c r="B53" s="194"/>
      <c r="C53" s="25"/>
      <c r="D53" s="28">
        <f t="shared" ref="D53:I53" si="22">SUM(D45:D52)</f>
        <v>1820</v>
      </c>
      <c r="E53" s="28">
        <f t="shared" si="22"/>
        <v>1820</v>
      </c>
      <c r="F53" s="28">
        <f t="shared" si="22"/>
        <v>1820</v>
      </c>
      <c r="G53" s="28">
        <f t="shared" si="22"/>
        <v>1820</v>
      </c>
      <c r="H53" s="28">
        <f t="shared" si="22"/>
        <v>1820</v>
      </c>
      <c r="I53" s="28">
        <f t="shared" si="22"/>
        <v>1820</v>
      </c>
      <c r="J53" s="28">
        <f t="shared" ref="J53:P53" si="23">SUM(J45:J52)</f>
        <v>1820</v>
      </c>
      <c r="K53" s="28">
        <f t="shared" si="23"/>
        <v>1820</v>
      </c>
      <c r="L53" s="28">
        <f t="shared" si="23"/>
        <v>1820</v>
      </c>
      <c r="M53" s="28">
        <f t="shared" si="23"/>
        <v>1820</v>
      </c>
      <c r="N53" s="28">
        <f t="shared" si="23"/>
        <v>1820</v>
      </c>
      <c r="O53" s="28">
        <f t="shared" si="23"/>
        <v>1820</v>
      </c>
      <c r="P53" s="28">
        <f t="shared" si="23"/>
        <v>21840</v>
      </c>
      <c r="Q53" s="8">
        <f>SUM(P52)-P53</f>
        <v>-15840</v>
      </c>
    </row>
    <row r="54" spans="1:21" x14ac:dyDescent="0.3">
      <c r="A54" s="194" t="s">
        <v>41</v>
      </c>
      <c r="B54" s="194"/>
      <c r="C54" s="25"/>
      <c r="D54" s="43"/>
      <c r="E54" s="43"/>
      <c r="F54" s="43"/>
      <c r="G54" s="43"/>
      <c r="H54" s="43"/>
      <c r="I54" s="43"/>
      <c r="J54" s="25"/>
      <c r="K54" s="25"/>
      <c r="L54" s="25"/>
      <c r="M54" s="25"/>
      <c r="N54" s="25"/>
      <c r="O54" s="25"/>
      <c r="P54" s="25"/>
    </row>
    <row r="55" spans="1:21" x14ac:dyDescent="0.3">
      <c r="A55" s="26"/>
      <c r="B55" s="27" t="s">
        <v>42</v>
      </c>
      <c r="C55" s="25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f t="shared" ref="P55:P83" si="24">SUM(D55:O55)</f>
        <v>0</v>
      </c>
    </row>
    <row r="56" spans="1:21" x14ac:dyDescent="0.3">
      <c r="A56" s="26"/>
      <c r="B56" s="27" t="s">
        <v>43</v>
      </c>
      <c r="C56" s="25"/>
      <c r="D56" s="42">
        <v>1500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>
        <f t="shared" si="24"/>
        <v>1500</v>
      </c>
      <c r="Q56" s="43">
        <f>SUM(E56:P56)</f>
        <v>1500</v>
      </c>
    </row>
    <row r="57" spans="1:21" x14ac:dyDescent="0.3">
      <c r="A57" s="26"/>
      <c r="B57" s="27" t="s">
        <v>44</v>
      </c>
      <c r="C57" s="25"/>
      <c r="D57" s="43">
        <v>125</v>
      </c>
      <c r="E57" s="43">
        <v>125</v>
      </c>
      <c r="F57" s="43">
        <v>125</v>
      </c>
      <c r="G57" s="43">
        <v>125</v>
      </c>
      <c r="H57" s="43">
        <v>125</v>
      </c>
      <c r="I57" s="43">
        <v>125</v>
      </c>
      <c r="J57" s="43">
        <v>125</v>
      </c>
      <c r="K57" s="43">
        <v>125</v>
      </c>
      <c r="L57" s="43">
        <v>125</v>
      </c>
      <c r="M57" s="43">
        <v>125</v>
      </c>
      <c r="N57" s="43">
        <v>125</v>
      </c>
      <c r="O57" s="43">
        <v>125</v>
      </c>
      <c r="P57" s="43">
        <f t="shared" si="24"/>
        <v>1500</v>
      </c>
    </row>
    <row r="58" spans="1:21" x14ac:dyDescent="0.3">
      <c r="A58" s="26"/>
      <c r="B58" s="27" t="s">
        <v>45</v>
      </c>
      <c r="C58" s="25"/>
      <c r="D58" s="43">
        <v>50</v>
      </c>
      <c r="E58" s="43">
        <v>50</v>
      </c>
      <c r="F58" s="43">
        <v>50</v>
      </c>
      <c r="G58" s="43">
        <v>50</v>
      </c>
      <c r="H58" s="43">
        <v>50</v>
      </c>
      <c r="I58" s="43">
        <v>50</v>
      </c>
      <c r="J58" s="43">
        <v>50</v>
      </c>
      <c r="K58" s="43">
        <v>50</v>
      </c>
      <c r="L58" s="43">
        <v>50</v>
      </c>
      <c r="M58" s="43">
        <v>50</v>
      </c>
      <c r="N58" s="43">
        <v>50</v>
      </c>
      <c r="O58" s="43">
        <v>50</v>
      </c>
      <c r="P58" s="43">
        <f t="shared" si="24"/>
        <v>600</v>
      </c>
      <c r="Q58" s="43">
        <f>SUM(E58:P58)</f>
        <v>1150</v>
      </c>
    </row>
    <row r="59" spans="1:21" x14ac:dyDescent="0.3">
      <c r="A59" s="26"/>
      <c r="B59" s="27" t="s">
        <v>46</v>
      </c>
      <c r="C59" s="25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f t="shared" si="24"/>
        <v>0</v>
      </c>
    </row>
    <row r="60" spans="1:21" x14ac:dyDescent="0.3">
      <c r="A60" s="26"/>
      <c r="B60" s="27" t="s">
        <v>47</v>
      </c>
      <c r="C60" s="25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f t="shared" si="24"/>
        <v>0</v>
      </c>
    </row>
    <row r="61" spans="1:21" x14ac:dyDescent="0.3">
      <c r="A61" s="26"/>
      <c r="B61" s="27" t="s">
        <v>48</v>
      </c>
      <c r="C61" s="2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f t="shared" si="24"/>
        <v>0</v>
      </c>
    </row>
    <row r="62" spans="1:21" x14ac:dyDescent="0.3">
      <c r="A62" s="26"/>
      <c r="B62" s="27" t="s">
        <v>49</v>
      </c>
      <c r="C62" s="25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>
        <f t="shared" si="24"/>
        <v>0</v>
      </c>
    </row>
    <row r="63" spans="1:21" x14ac:dyDescent="0.3">
      <c r="A63" s="26"/>
      <c r="B63" s="27" t="s">
        <v>50</v>
      </c>
      <c r="C63" s="25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f t="shared" si="24"/>
        <v>0</v>
      </c>
      <c r="Q63" s="43">
        <f>SUM(E63:P63)</f>
        <v>0</v>
      </c>
    </row>
    <row r="64" spans="1:21" x14ac:dyDescent="0.3">
      <c r="A64" s="26"/>
      <c r="B64" s="27" t="s">
        <v>51</v>
      </c>
      <c r="C64" s="25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24"/>
        <v>0</v>
      </c>
    </row>
    <row r="65" spans="1:17" x14ac:dyDescent="0.3">
      <c r="A65" s="26"/>
      <c r="B65" s="27" t="s">
        <v>52</v>
      </c>
      <c r="C65" s="25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>
        <f t="shared" si="24"/>
        <v>0</v>
      </c>
      <c r="Q65" s="43">
        <f>SUM(E65:P65)</f>
        <v>0</v>
      </c>
    </row>
    <row r="66" spans="1:17" x14ac:dyDescent="0.3">
      <c r="A66" s="26"/>
      <c r="B66" s="27" t="s">
        <v>53</v>
      </c>
      <c r="C66" s="25"/>
      <c r="D66" s="43">
        <v>100</v>
      </c>
      <c r="E66" s="43">
        <v>100</v>
      </c>
      <c r="F66" s="43">
        <v>100</v>
      </c>
      <c r="G66" s="43">
        <v>100</v>
      </c>
      <c r="H66" s="43">
        <v>100</v>
      </c>
      <c r="I66" s="43">
        <v>100</v>
      </c>
      <c r="J66" s="43">
        <v>100</v>
      </c>
      <c r="K66" s="43">
        <v>100</v>
      </c>
      <c r="L66" s="43">
        <v>100</v>
      </c>
      <c r="M66" s="43">
        <v>100</v>
      </c>
      <c r="N66" s="43">
        <v>100</v>
      </c>
      <c r="O66" s="43">
        <v>100</v>
      </c>
      <c r="P66" s="43">
        <f t="shared" si="24"/>
        <v>1200</v>
      </c>
      <c r="Q66" s="43">
        <f>SUM(E66:P66)</f>
        <v>2300</v>
      </c>
    </row>
    <row r="67" spans="1:17" x14ac:dyDescent="0.3">
      <c r="A67" s="26"/>
      <c r="B67" s="27" t="s">
        <v>54</v>
      </c>
      <c r="C67" s="25"/>
      <c r="D67" s="43">
        <v>275</v>
      </c>
      <c r="E67" s="43">
        <v>275</v>
      </c>
      <c r="F67" s="43">
        <v>275</v>
      </c>
      <c r="G67" s="43">
        <v>275</v>
      </c>
      <c r="H67" s="43">
        <v>275</v>
      </c>
      <c r="I67" s="43">
        <v>275</v>
      </c>
      <c r="J67" s="43">
        <v>275</v>
      </c>
      <c r="K67" s="43">
        <v>275</v>
      </c>
      <c r="L67" s="43">
        <v>275</v>
      </c>
      <c r="M67" s="43">
        <v>275</v>
      </c>
      <c r="N67" s="43">
        <v>275</v>
      </c>
      <c r="O67" s="43">
        <v>275</v>
      </c>
      <c r="P67" s="43">
        <f t="shared" si="24"/>
        <v>3300</v>
      </c>
    </row>
    <row r="68" spans="1:17" x14ac:dyDescent="0.3">
      <c r="A68" s="26"/>
      <c r="B68" s="27" t="s">
        <v>55</v>
      </c>
      <c r="C68" s="25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>
        <f t="shared" si="24"/>
        <v>0</v>
      </c>
    </row>
    <row r="69" spans="1:17" x14ac:dyDescent="0.3">
      <c r="A69" s="26"/>
      <c r="B69" s="27" t="s">
        <v>56</v>
      </c>
      <c r="C69" s="25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>
        <f t="shared" si="24"/>
        <v>0</v>
      </c>
    </row>
    <row r="70" spans="1:17" x14ac:dyDescent="0.3">
      <c r="A70" s="26"/>
      <c r="B70" s="27" t="s">
        <v>57</v>
      </c>
      <c r="C70" s="25"/>
      <c r="D70" s="43">
        <v>307.5</v>
      </c>
      <c r="E70" s="43">
        <v>307.5</v>
      </c>
      <c r="F70" s="43">
        <v>307.5</v>
      </c>
      <c r="G70" s="43">
        <v>307.5</v>
      </c>
      <c r="H70" s="43">
        <v>307.5</v>
      </c>
      <c r="I70" s="43">
        <v>307.5</v>
      </c>
      <c r="J70" s="43">
        <v>307.5</v>
      </c>
      <c r="K70" s="43">
        <v>307.5</v>
      </c>
      <c r="L70" s="43">
        <v>307.5</v>
      </c>
      <c r="M70" s="43">
        <v>307.5</v>
      </c>
      <c r="N70" s="43">
        <v>307.5</v>
      </c>
      <c r="O70" s="43">
        <v>307.5</v>
      </c>
      <c r="P70" s="43">
        <f t="shared" si="24"/>
        <v>3690</v>
      </c>
    </row>
    <row r="71" spans="1:17" x14ac:dyDescent="0.3">
      <c r="A71" s="26"/>
      <c r="B71" s="27" t="s">
        <v>58</v>
      </c>
      <c r="C71" s="2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>
        <f t="shared" si="24"/>
        <v>0</v>
      </c>
    </row>
    <row r="72" spans="1:17" x14ac:dyDescent="0.3">
      <c r="A72" s="26"/>
      <c r="B72" s="27" t="s">
        <v>59</v>
      </c>
      <c r="C72" s="25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>
        <f t="shared" si="24"/>
        <v>0</v>
      </c>
    </row>
    <row r="73" spans="1:17" x14ac:dyDescent="0.3">
      <c r="A73" s="26"/>
      <c r="B73" s="27" t="s">
        <v>60</v>
      </c>
      <c r="C73" s="2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>
        <f t="shared" si="24"/>
        <v>0</v>
      </c>
    </row>
    <row r="74" spans="1:17" x14ac:dyDescent="0.3">
      <c r="A74" s="26"/>
      <c r="B74" s="27" t="s">
        <v>61</v>
      </c>
      <c r="C74" s="25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 t="shared" si="24"/>
        <v>0</v>
      </c>
    </row>
    <row r="75" spans="1:17" x14ac:dyDescent="0.3">
      <c r="A75" s="26"/>
      <c r="B75" s="27" t="s">
        <v>62</v>
      </c>
      <c r="C75" s="25"/>
      <c r="D75" s="43">
        <v>186</v>
      </c>
      <c r="E75" s="43">
        <v>186</v>
      </c>
      <c r="F75" s="43">
        <v>186</v>
      </c>
      <c r="G75" s="43">
        <v>186</v>
      </c>
      <c r="H75" s="43">
        <v>186</v>
      </c>
      <c r="I75" s="43">
        <v>186</v>
      </c>
      <c r="J75" s="43">
        <v>186</v>
      </c>
      <c r="K75" s="43">
        <v>186</v>
      </c>
      <c r="L75" s="43">
        <v>186</v>
      </c>
      <c r="M75" s="43">
        <v>186</v>
      </c>
      <c r="N75" s="43">
        <v>186</v>
      </c>
      <c r="O75" s="43">
        <v>186</v>
      </c>
      <c r="P75" s="43">
        <f t="shared" si="24"/>
        <v>2232</v>
      </c>
      <c r="Q75" s="43">
        <f>SUM(E75:P75)</f>
        <v>4278</v>
      </c>
    </row>
    <row r="76" spans="1:17" x14ac:dyDescent="0.3">
      <c r="A76" s="26"/>
      <c r="B76" s="27" t="s">
        <v>63</v>
      </c>
      <c r="C76" s="25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>
        <f t="shared" si="24"/>
        <v>0</v>
      </c>
    </row>
    <row r="77" spans="1:17" x14ac:dyDescent="0.3">
      <c r="A77" s="27" t="s">
        <v>17</v>
      </c>
      <c r="B77" s="27" t="s">
        <v>64</v>
      </c>
      <c r="C77" s="25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>
        <f t="shared" si="24"/>
        <v>0</v>
      </c>
    </row>
    <row r="78" spans="1:17" x14ac:dyDescent="0.3">
      <c r="A78" s="26"/>
      <c r="B78" s="27" t="s">
        <v>65</v>
      </c>
      <c r="C78" s="25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>
        <f t="shared" si="24"/>
        <v>0</v>
      </c>
    </row>
    <row r="79" spans="1:17" x14ac:dyDescent="0.3">
      <c r="A79" s="26"/>
      <c r="B79" s="26"/>
      <c r="C79" s="25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f t="shared" si="24"/>
        <v>0</v>
      </c>
    </row>
    <row r="80" spans="1:17" x14ac:dyDescent="0.3">
      <c r="A80" s="26"/>
      <c r="B80" s="27"/>
      <c r="C80" s="25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f t="shared" si="24"/>
        <v>0</v>
      </c>
    </row>
    <row r="81" spans="1:17" x14ac:dyDescent="0.3">
      <c r="A81" s="26"/>
      <c r="B81" s="27"/>
      <c r="C81" s="25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>
        <f t="shared" si="24"/>
        <v>0</v>
      </c>
    </row>
    <row r="82" spans="1:17" x14ac:dyDescent="0.3">
      <c r="A82" s="26"/>
      <c r="B82" s="27"/>
      <c r="C82" s="25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>
        <f t="shared" si="24"/>
        <v>0</v>
      </c>
    </row>
    <row r="83" spans="1:17" x14ac:dyDescent="0.3">
      <c r="A83" s="26"/>
      <c r="B83" s="27"/>
      <c r="C83" s="25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>
        <f t="shared" si="24"/>
        <v>0</v>
      </c>
    </row>
    <row r="84" spans="1:17" x14ac:dyDescent="0.3">
      <c r="A84" s="194" t="s">
        <v>66</v>
      </c>
      <c r="B84" s="194"/>
      <c r="C84" s="25"/>
      <c r="D84" s="28">
        <f t="shared" ref="D84:I84" si="25">SUM(D56:D83)</f>
        <v>2543.5</v>
      </c>
      <c r="E84" s="28">
        <f t="shared" si="25"/>
        <v>1043.5</v>
      </c>
      <c r="F84" s="28">
        <f t="shared" si="25"/>
        <v>1043.5</v>
      </c>
      <c r="G84" s="28">
        <f t="shared" si="25"/>
        <v>1043.5</v>
      </c>
      <c r="H84" s="28">
        <f t="shared" si="25"/>
        <v>1043.5</v>
      </c>
      <c r="I84" s="28">
        <f t="shared" si="25"/>
        <v>1043.5</v>
      </c>
      <c r="J84" s="28">
        <f t="shared" ref="J84:P84" si="26">SUM(J56:J83)</f>
        <v>1043.5</v>
      </c>
      <c r="K84" s="28">
        <f t="shared" si="26"/>
        <v>1043.5</v>
      </c>
      <c r="L84" s="28">
        <f t="shared" si="26"/>
        <v>1043.5</v>
      </c>
      <c r="M84" s="28">
        <f t="shared" si="26"/>
        <v>1043.5</v>
      </c>
      <c r="N84" s="28">
        <f t="shared" si="26"/>
        <v>1043.5</v>
      </c>
      <c r="O84" s="28">
        <f t="shared" si="26"/>
        <v>1043.5</v>
      </c>
      <c r="P84" s="28">
        <f t="shared" si="26"/>
        <v>14022</v>
      </c>
      <c r="Q84" s="8">
        <f>SUM(P55:P83)-P84</f>
        <v>0</v>
      </c>
    </row>
    <row r="85" spans="1:17" x14ac:dyDescent="0.3">
      <c r="A85" s="194" t="s">
        <v>67</v>
      </c>
      <c r="B85" s="194"/>
      <c r="C85" s="25"/>
      <c r="D85" s="43"/>
      <c r="E85" s="43"/>
      <c r="F85" s="43"/>
      <c r="G85" s="43"/>
      <c r="H85" s="43"/>
      <c r="I85" s="43"/>
      <c r="J85" s="25"/>
      <c r="K85" s="25"/>
      <c r="L85" s="25"/>
      <c r="M85" s="25"/>
      <c r="N85" s="25"/>
      <c r="O85" s="25"/>
      <c r="P85" s="25"/>
    </row>
    <row r="86" spans="1:17" x14ac:dyDescent="0.3">
      <c r="A86" s="26"/>
      <c r="B86" s="27" t="s">
        <v>68</v>
      </c>
      <c r="C86" s="25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25">
        <f t="shared" ref="P86:P104" si="27">SUM(D86:O86)</f>
        <v>0</v>
      </c>
    </row>
    <row r="87" spans="1:17" x14ac:dyDescent="0.3">
      <c r="A87" s="26"/>
      <c r="B87" s="27" t="s">
        <v>69</v>
      </c>
      <c r="C87" s="25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25">
        <f t="shared" si="27"/>
        <v>0</v>
      </c>
    </row>
    <row r="88" spans="1:17" x14ac:dyDescent="0.3">
      <c r="A88" s="26"/>
      <c r="B88" s="27" t="s">
        <v>70</v>
      </c>
      <c r="C88" s="25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25">
        <f t="shared" si="27"/>
        <v>0</v>
      </c>
    </row>
    <row r="89" spans="1:17" x14ac:dyDescent="0.3">
      <c r="A89" s="26"/>
      <c r="B89" s="27" t="s">
        <v>71</v>
      </c>
      <c r="C89" s="25"/>
      <c r="D89" s="43">
        <f>1600/12</f>
        <v>133.33333333333334</v>
      </c>
      <c r="E89" s="43">
        <f t="shared" ref="E89:O89" si="28">1600/12</f>
        <v>133.33333333333334</v>
      </c>
      <c r="F89" s="43">
        <f t="shared" si="28"/>
        <v>133.33333333333334</v>
      </c>
      <c r="G89" s="43">
        <f t="shared" si="28"/>
        <v>133.33333333333334</v>
      </c>
      <c r="H89" s="43">
        <f t="shared" si="28"/>
        <v>133.33333333333334</v>
      </c>
      <c r="I89" s="43">
        <f t="shared" si="28"/>
        <v>133.33333333333334</v>
      </c>
      <c r="J89" s="43">
        <f t="shared" si="28"/>
        <v>133.33333333333334</v>
      </c>
      <c r="K89" s="43">
        <f t="shared" si="28"/>
        <v>133.33333333333334</v>
      </c>
      <c r="L89" s="43">
        <f t="shared" si="28"/>
        <v>133.33333333333334</v>
      </c>
      <c r="M89" s="43">
        <f t="shared" si="28"/>
        <v>133.33333333333334</v>
      </c>
      <c r="N89" s="43">
        <f t="shared" si="28"/>
        <v>133.33333333333334</v>
      </c>
      <c r="O89" s="43">
        <f t="shared" si="28"/>
        <v>133.33333333333334</v>
      </c>
      <c r="P89" s="25">
        <f t="shared" si="27"/>
        <v>1599.9999999999998</v>
      </c>
    </row>
    <row r="90" spans="1:17" x14ac:dyDescent="0.3">
      <c r="A90" s="26"/>
      <c r="B90" s="27" t="s">
        <v>72</v>
      </c>
      <c r="C90" s="25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25">
        <f t="shared" si="27"/>
        <v>0</v>
      </c>
    </row>
    <row r="91" spans="1:17" x14ac:dyDescent="0.3">
      <c r="A91" s="26"/>
      <c r="B91" s="27" t="s">
        <v>73</v>
      </c>
      <c r="C91" s="25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25">
        <f t="shared" si="27"/>
        <v>0</v>
      </c>
    </row>
    <row r="92" spans="1:17" x14ac:dyDescent="0.3">
      <c r="A92" s="26"/>
      <c r="B92" s="27" t="s">
        <v>74</v>
      </c>
      <c r="C92" s="25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25">
        <f t="shared" si="27"/>
        <v>0</v>
      </c>
    </row>
    <row r="93" spans="1:17" x14ac:dyDescent="0.3">
      <c r="A93" s="26"/>
      <c r="B93" s="27" t="s">
        <v>75</v>
      </c>
      <c r="C93" s="25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25">
        <f t="shared" si="27"/>
        <v>0</v>
      </c>
    </row>
    <row r="94" spans="1:17" x14ac:dyDescent="0.3">
      <c r="A94" s="26"/>
      <c r="B94" s="27" t="s">
        <v>76</v>
      </c>
      <c r="C94" s="25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25">
        <f t="shared" si="27"/>
        <v>0</v>
      </c>
    </row>
    <row r="95" spans="1:17" x14ac:dyDescent="0.3">
      <c r="A95" s="26"/>
      <c r="B95" s="27" t="s">
        <v>77</v>
      </c>
      <c r="C95" s="25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25">
        <f t="shared" si="27"/>
        <v>0</v>
      </c>
    </row>
    <row r="96" spans="1:17" x14ac:dyDescent="0.3">
      <c r="A96" s="26"/>
      <c r="B96" s="27" t="s">
        <v>78</v>
      </c>
      <c r="C96" s="25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25">
        <f t="shared" si="27"/>
        <v>0</v>
      </c>
    </row>
    <row r="97" spans="1:17" x14ac:dyDescent="0.3">
      <c r="A97" s="26"/>
      <c r="B97" s="27" t="s">
        <v>79</v>
      </c>
      <c r="C97" s="25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25">
        <f t="shared" si="27"/>
        <v>0</v>
      </c>
    </row>
    <row r="98" spans="1:17" x14ac:dyDescent="0.3">
      <c r="A98" s="26"/>
      <c r="B98" s="27" t="s">
        <v>80</v>
      </c>
      <c r="C98" s="25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25">
        <f t="shared" si="27"/>
        <v>0</v>
      </c>
    </row>
    <row r="99" spans="1:17" x14ac:dyDescent="0.3">
      <c r="A99" s="26"/>
      <c r="B99" s="27" t="s">
        <v>81</v>
      </c>
      <c r="C99" s="25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25">
        <f t="shared" si="27"/>
        <v>0</v>
      </c>
    </row>
    <row r="100" spans="1:17" x14ac:dyDescent="0.3">
      <c r="A100" s="26"/>
      <c r="B100" s="27" t="s">
        <v>82</v>
      </c>
      <c r="C100" s="25"/>
      <c r="D100" s="43"/>
      <c r="E100" s="43"/>
      <c r="F100" s="43"/>
      <c r="G100" s="43"/>
      <c r="H100" s="43"/>
      <c r="I100" s="43"/>
      <c r="J100" s="25"/>
      <c r="K100" s="25"/>
      <c r="L100" s="25"/>
      <c r="M100" s="25"/>
      <c r="N100" s="25"/>
      <c r="O100" s="25"/>
      <c r="P100" s="25">
        <f t="shared" si="27"/>
        <v>0</v>
      </c>
    </row>
    <row r="101" spans="1:17" x14ac:dyDescent="0.3">
      <c r="A101" s="26"/>
      <c r="B101" s="27" t="s">
        <v>83</v>
      </c>
      <c r="C101" s="25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25">
        <f t="shared" si="27"/>
        <v>0</v>
      </c>
    </row>
    <row r="102" spans="1:17" x14ac:dyDescent="0.3">
      <c r="A102" s="26"/>
      <c r="B102" s="26"/>
      <c r="C102" s="25"/>
      <c r="D102" s="43"/>
      <c r="E102" s="43"/>
      <c r="F102" s="43"/>
      <c r="G102" s="43"/>
      <c r="H102" s="43"/>
      <c r="I102" s="43"/>
      <c r="J102" s="25"/>
      <c r="K102" s="25"/>
      <c r="L102" s="25"/>
      <c r="M102" s="25"/>
      <c r="N102" s="25"/>
      <c r="O102" s="25"/>
      <c r="P102" s="25">
        <f t="shared" si="27"/>
        <v>0</v>
      </c>
    </row>
    <row r="103" spans="1:17" x14ac:dyDescent="0.3">
      <c r="A103" s="26"/>
      <c r="B103" s="27"/>
      <c r="C103" s="25"/>
      <c r="D103" s="43"/>
      <c r="E103" s="43"/>
      <c r="F103" s="43"/>
      <c r="G103" s="43"/>
      <c r="H103" s="43"/>
      <c r="I103" s="43"/>
      <c r="J103" s="25"/>
      <c r="K103" s="25"/>
      <c r="L103" s="25"/>
      <c r="M103" s="25"/>
      <c r="N103" s="25"/>
      <c r="O103" s="25"/>
      <c r="P103" s="25">
        <f t="shared" si="27"/>
        <v>0</v>
      </c>
    </row>
    <row r="104" spans="1:17" x14ac:dyDescent="0.3">
      <c r="A104" s="26"/>
      <c r="B104" s="27"/>
      <c r="C104" s="25"/>
      <c r="D104" s="43"/>
      <c r="E104" s="43"/>
      <c r="F104" s="43"/>
      <c r="G104" s="43"/>
      <c r="H104" s="43"/>
      <c r="I104" s="43"/>
      <c r="J104" s="25"/>
      <c r="K104" s="25"/>
      <c r="L104" s="25"/>
      <c r="M104" s="25"/>
      <c r="N104" s="25"/>
      <c r="O104" s="25"/>
      <c r="P104" s="25">
        <f t="shared" si="27"/>
        <v>0</v>
      </c>
    </row>
    <row r="105" spans="1:17" x14ac:dyDescent="0.3">
      <c r="A105" s="194" t="s">
        <v>84</v>
      </c>
      <c r="B105" s="194"/>
      <c r="C105" s="25"/>
      <c r="D105" s="30">
        <f t="shared" ref="D105:I105" si="29">SUM(D86:D104)</f>
        <v>133.33333333333334</v>
      </c>
      <c r="E105" s="30">
        <f t="shared" si="29"/>
        <v>133.33333333333334</v>
      </c>
      <c r="F105" s="30">
        <f t="shared" si="29"/>
        <v>133.33333333333334</v>
      </c>
      <c r="G105" s="30">
        <f t="shared" si="29"/>
        <v>133.33333333333334</v>
      </c>
      <c r="H105" s="30">
        <f t="shared" si="29"/>
        <v>133.33333333333334</v>
      </c>
      <c r="I105" s="30">
        <f t="shared" si="29"/>
        <v>133.33333333333334</v>
      </c>
      <c r="J105" s="30">
        <f t="shared" ref="J105:P105" si="30">SUM(J86:J104)</f>
        <v>133.33333333333334</v>
      </c>
      <c r="K105" s="30">
        <f t="shared" si="30"/>
        <v>133.33333333333334</v>
      </c>
      <c r="L105" s="30">
        <f t="shared" si="30"/>
        <v>133.33333333333334</v>
      </c>
      <c r="M105" s="30">
        <f t="shared" si="30"/>
        <v>133.33333333333334</v>
      </c>
      <c r="N105" s="30">
        <f t="shared" si="30"/>
        <v>133.33333333333334</v>
      </c>
      <c r="O105" s="30">
        <f t="shared" si="30"/>
        <v>133.33333333333334</v>
      </c>
      <c r="P105" s="30">
        <f t="shared" si="30"/>
        <v>1599.9999999999998</v>
      </c>
      <c r="Q105" s="8">
        <f>SUM(P86:P104)-P105</f>
        <v>0</v>
      </c>
    </row>
    <row r="106" spans="1:17" x14ac:dyDescent="0.3">
      <c r="A106" s="26"/>
      <c r="B106" s="27" t="s">
        <v>85</v>
      </c>
      <c r="C106" s="25"/>
      <c r="D106" s="30">
        <f t="shared" ref="D106:I106" si="31">D105+D84+D53+D43</f>
        <v>44328.59171557334</v>
      </c>
      <c r="E106" s="30">
        <f t="shared" si="31"/>
        <v>42828.62366148374</v>
      </c>
      <c r="F106" s="30">
        <f t="shared" si="31"/>
        <v>62744.518825558946</v>
      </c>
      <c r="G106" s="30">
        <f t="shared" si="31"/>
        <v>42828.62366148374</v>
      </c>
      <c r="H106" s="30">
        <f t="shared" si="31"/>
        <v>42828.62366148374</v>
      </c>
      <c r="I106" s="30">
        <f t="shared" si="31"/>
        <v>42828.62366148374</v>
      </c>
      <c r="J106" s="30">
        <f t="shared" ref="J106:P106" si="32">J105+J84+J53+J43</f>
        <v>42828.62366148374</v>
      </c>
      <c r="K106" s="30">
        <f t="shared" si="32"/>
        <v>62744.518825558946</v>
      </c>
      <c r="L106" s="30">
        <f t="shared" si="32"/>
        <v>42828.62366148374</v>
      </c>
      <c r="M106" s="30">
        <f t="shared" si="32"/>
        <v>42828.62366148374</v>
      </c>
      <c r="N106" s="30">
        <f t="shared" si="32"/>
        <v>42828.62366148374</v>
      </c>
      <c r="O106" s="30">
        <f t="shared" si="32"/>
        <v>42828.62366148374</v>
      </c>
      <c r="P106" s="30">
        <f t="shared" si="32"/>
        <v>555275.24232004478</v>
      </c>
    </row>
    <row r="107" spans="1:17" x14ac:dyDescent="0.3">
      <c r="A107" s="26"/>
      <c r="B107" s="27" t="s">
        <v>86</v>
      </c>
      <c r="C107" s="25"/>
      <c r="D107" s="43"/>
      <c r="E107" s="43"/>
      <c r="F107" s="43"/>
      <c r="G107" s="43"/>
      <c r="H107" s="43"/>
      <c r="I107" s="43"/>
      <c r="J107" s="25"/>
      <c r="K107" s="25"/>
      <c r="L107" s="25"/>
      <c r="M107" s="25"/>
      <c r="N107" s="25"/>
      <c r="O107" s="25"/>
      <c r="P107" s="25"/>
    </row>
    <row r="108" spans="1:17" x14ac:dyDescent="0.3">
      <c r="A108" s="25"/>
      <c r="B108" s="25"/>
      <c r="C108" s="25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7" ht="15" thickBot="1" x14ac:dyDescent="0.35">
      <c r="A109" s="25"/>
      <c r="B109" s="25" t="s">
        <v>112</v>
      </c>
      <c r="C109" s="25"/>
      <c r="D109" s="31">
        <f t="shared" ref="D109:P109" si="33">D32-D106-D107</f>
        <v>21872.948938125286</v>
      </c>
      <c r="E109" s="31">
        <f t="shared" si="33"/>
        <v>18189.945316050507</v>
      </c>
      <c r="F109" s="31">
        <f t="shared" si="33"/>
        <v>3456.021828139681</v>
      </c>
      <c r="G109" s="31">
        <f t="shared" si="33"/>
        <v>21644.593100160091</v>
      </c>
      <c r="H109" s="31">
        <f t="shared" si="33"/>
        <v>23371.916992214887</v>
      </c>
      <c r="I109" s="31">
        <f t="shared" si="33"/>
        <v>21645.593100160091</v>
      </c>
      <c r="J109" s="31">
        <f t="shared" si="33"/>
        <v>23736.916992214887</v>
      </c>
      <c r="K109" s="31">
        <f t="shared" si="33"/>
        <v>3821.021828139681</v>
      </c>
      <c r="L109" s="31">
        <f t="shared" si="33"/>
        <v>22009.593100160091</v>
      </c>
      <c r="M109" s="31">
        <f t="shared" si="33"/>
        <v>23736.916992214887</v>
      </c>
      <c r="N109" s="31">
        <f t="shared" si="33"/>
        <v>22009.593100160091</v>
      </c>
      <c r="O109" s="31">
        <f t="shared" si="33"/>
        <v>36783.865192214886</v>
      </c>
      <c r="P109" s="31">
        <f t="shared" si="33"/>
        <v>242278.92647995497</v>
      </c>
    </row>
    <row r="110" spans="1:17" ht="15" thickTop="1" x14ac:dyDescent="0.3"/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11"/>
  <sheetViews>
    <sheetView workbookViewId="0">
      <pane xSplit="3" ySplit="3" topLeftCell="D37" activePane="bottomRight" state="frozen"/>
      <selection pane="topRight" activeCell="D1" sqref="D1"/>
      <selection pane="bottomLeft" activeCell="A4" sqref="A4"/>
      <selection pane="bottomRight" activeCell="D38" sqref="D38:O38"/>
    </sheetView>
  </sheetViews>
  <sheetFormatPr defaultRowHeight="14.4" x14ac:dyDescent="0.3"/>
  <cols>
    <col min="2" max="2" width="29.44140625" customWidth="1"/>
    <col min="3" max="3" width="2" customWidth="1"/>
  </cols>
  <sheetData>
    <row r="1" spans="1:20" x14ac:dyDescent="0.3">
      <c r="A1" s="43"/>
      <c r="B1" s="43" t="s">
        <v>192</v>
      </c>
      <c r="C1" s="43"/>
      <c r="D1" s="43">
        <v>20</v>
      </c>
      <c r="E1" s="43">
        <v>20</v>
      </c>
      <c r="F1" s="43">
        <v>20</v>
      </c>
      <c r="G1" s="43">
        <v>20</v>
      </c>
      <c r="H1" s="43">
        <v>20</v>
      </c>
      <c r="I1" s="43">
        <v>20</v>
      </c>
      <c r="J1" s="43">
        <v>20</v>
      </c>
      <c r="K1" s="43">
        <v>20</v>
      </c>
      <c r="L1" s="43">
        <v>20</v>
      </c>
      <c r="M1" s="43">
        <v>20</v>
      </c>
      <c r="N1" s="43">
        <v>20</v>
      </c>
      <c r="O1" s="43">
        <v>20</v>
      </c>
      <c r="P1" s="43"/>
      <c r="Q1" s="42"/>
      <c r="R1" s="42"/>
    </row>
    <row r="2" spans="1:20" x14ac:dyDescent="0.3">
      <c r="A2" s="43"/>
      <c r="B2" s="43" t="s">
        <v>191</v>
      </c>
      <c r="C2" s="43"/>
      <c r="D2" s="43">
        <v>30</v>
      </c>
      <c r="E2" s="43">
        <v>30</v>
      </c>
      <c r="F2" s="43">
        <v>30</v>
      </c>
      <c r="G2" s="43">
        <v>30</v>
      </c>
      <c r="H2" s="43">
        <v>30</v>
      </c>
      <c r="I2" s="43">
        <v>30</v>
      </c>
      <c r="J2" s="43">
        <v>30</v>
      </c>
      <c r="K2" s="43">
        <v>30</v>
      </c>
      <c r="L2" s="43">
        <v>30</v>
      </c>
      <c r="M2" s="43">
        <v>30</v>
      </c>
      <c r="N2" s="43">
        <v>30</v>
      </c>
      <c r="O2" s="43">
        <v>30</v>
      </c>
      <c r="P2" s="43"/>
      <c r="Q2" s="42"/>
      <c r="R2" s="42"/>
    </row>
    <row r="3" spans="1:20" x14ac:dyDescent="0.3">
      <c r="A3" s="43"/>
      <c r="B3" s="43"/>
      <c r="C3" s="43"/>
      <c r="D3" s="54" t="s">
        <v>100</v>
      </c>
      <c r="E3" s="54" t="s">
        <v>101</v>
      </c>
      <c r="F3" s="54" t="s">
        <v>102</v>
      </c>
      <c r="G3" s="54" t="s">
        <v>103</v>
      </c>
      <c r="H3" s="54" t="s">
        <v>104</v>
      </c>
      <c r="I3" s="54" t="s">
        <v>105</v>
      </c>
      <c r="J3" s="54" t="s">
        <v>106</v>
      </c>
      <c r="K3" s="54" t="s">
        <v>107</v>
      </c>
      <c r="L3" s="54" t="s">
        <v>108</v>
      </c>
      <c r="M3" s="54" t="s">
        <v>109</v>
      </c>
      <c r="N3" s="54" t="s">
        <v>110</v>
      </c>
      <c r="O3" s="54" t="s">
        <v>111</v>
      </c>
      <c r="P3" s="9" t="s">
        <v>113</v>
      </c>
      <c r="Q3" s="42"/>
      <c r="R3" s="42"/>
    </row>
    <row r="4" spans="1:20" x14ac:dyDescent="0.3">
      <c r="A4" s="194" t="s">
        <v>99</v>
      </c>
      <c r="B4" s="19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2"/>
      <c r="R4" s="42"/>
    </row>
    <row r="5" spans="1:20" x14ac:dyDescent="0.3">
      <c r="A5" s="194" t="s">
        <v>1</v>
      </c>
      <c r="B5" s="194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2"/>
      <c r="R5" s="42"/>
    </row>
    <row r="6" spans="1:20" x14ac:dyDescent="0.3">
      <c r="A6" s="26"/>
      <c r="B6" s="94" t="s">
        <v>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>
        <f t="shared" ref="P6:P11" si="0">SUM(D6:O6)</f>
        <v>0</v>
      </c>
      <c r="Q6" s="42"/>
      <c r="R6" s="42"/>
    </row>
    <row r="7" spans="1:20" x14ac:dyDescent="0.3">
      <c r="A7" s="26"/>
      <c r="B7" s="94" t="s">
        <v>204</v>
      </c>
      <c r="C7" s="43"/>
      <c r="D7" s="43">
        <f>D1*15.87*31</f>
        <v>9839.4</v>
      </c>
      <c r="E7" s="43">
        <f>E1*15.87*28</f>
        <v>8887.1999999999989</v>
      </c>
      <c r="F7" s="43">
        <f>F1*15.87*31</f>
        <v>9839.4</v>
      </c>
      <c r="G7" s="43">
        <f>G1*15.87*30</f>
        <v>9522</v>
      </c>
      <c r="H7" s="43">
        <f>H1*15.87*31</f>
        <v>9839.4</v>
      </c>
      <c r="I7" s="43">
        <f>I1*15.87*30</f>
        <v>9522</v>
      </c>
      <c r="J7" s="43">
        <f t="shared" ref="J7:O7" si="1">J1*15.87*31</f>
        <v>9839.4</v>
      </c>
      <c r="K7" s="43">
        <f t="shared" si="1"/>
        <v>9839.4</v>
      </c>
      <c r="L7" s="43">
        <f>L1*15.87*30</f>
        <v>9522</v>
      </c>
      <c r="M7" s="43">
        <f t="shared" si="1"/>
        <v>9839.4</v>
      </c>
      <c r="N7" s="43">
        <f>N1*15.87*30</f>
        <v>9522</v>
      </c>
      <c r="O7" s="43">
        <f t="shared" si="1"/>
        <v>9839.4</v>
      </c>
      <c r="P7" s="43">
        <f t="shared" si="0"/>
        <v>115850.99999999999</v>
      </c>
      <c r="Q7" s="42"/>
      <c r="R7" s="42"/>
    </row>
    <row r="8" spans="1:20" s="42" customFormat="1" x14ac:dyDescent="0.3">
      <c r="A8" s="26"/>
      <c r="B8" s="94" t="s">
        <v>205</v>
      </c>
      <c r="C8" s="43"/>
      <c r="D8" s="43">
        <f>D2*45</f>
        <v>1350</v>
      </c>
      <c r="E8" s="43">
        <v>1260</v>
      </c>
      <c r="F8" s="43">
        <v>1260</v>
      </c>
      <c r="G8" s="43">
        <v>1260</v>
      </c>
      <c r="H8" s="43">
        <v>1260</v>
      </c>
      <c r="I8" s="43">
        <v>1260</v>
      </c>
      <c r="J8" s="43">
        <v>1260</v>
      </c>
      <c r="K8" s="43">
        <v>1260</v>
      </c>
      <c r="L8" s="43">
        <v>1260</v>
      </c>
      <c r="M8" s="43">
        <v>1260</v>
      </c>
      <c r="N8" s="43">
        <v>1260</v>
      </c>
      <c r="O8" s="43">
        <v>1260</v>
      </c>
      <c r="P8" s="43">
        <f t="shared" si="0"/>
        <v>15210</v>
      </c>
    </row>
    <row r="9" spans="1:20" x14ac:dyDescent="0.3">
      <c r="A9" s="26"/>
      <c r="B9" s="94" t="s">
        <v>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>
        <f t="shared" si="0"/>
        <v>0</v>
      </c>
      <c r="Q9" s="42"/>
      <c r="R9" s="42"/>
    </row>
    <row r="10" spans="1:20" s="42" customFormat="1" x14ac:dyDescent="0.3">
      <c r="A10" s="26"/>
      <c r="B10" s="94" t="s">
        <v>206</v>
      </c>
      <c r="C10" s="43"/>
      <c r="D10" s="43"/>
      <c r="E10" s="43"/>
      <c r="F10" s="43">
        <f>8487*1.03</f>
        <v>8741.61</v>
      </c>
      <c r="G10" s="43"/>
      <c r="H10" s="43"/>
      <c r="I10" s="43"/>
      <c r="J10" s="43"/>
      <c r="K10" s="43"/>
      <c r="L10" s="43"/>
      <c r="M10" s="43"/>
      <c r="N10" s="43"/>
      <c r="O10" s="43"/>
      <c r="P10" s="43">
        <f t="shared" si="0"/>
        <v>8741.61</v>
      </c>
      <c r="Q10" s="42" t="s">
        <v>260</v>
      </c>
    </row>
    <row r="11" spans="1:20" x14ac:dyDescent="0.3">
      <c r="A11" s="26"/>
      <c r="B11" s="94" t="s">
        <v>207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>
        <f t="shared" si="0"/>
        <v>0</v>
      </c>
      <c r="Q11" s="42"/>
      <c r="R11" s="42"/>
    </row>
    <row r="12" spans="1:20" x14ac:dyDescent="0.3">
      <c r="A12" s="194" t="s">
        <v>6</v>
      </c>
      <c r="B12" s="194"/>
      <c r="C12" s="43"/>
      <c r="D12" s="28">
        <f t="shared" ref="D12:P12" si="2">SUM(D6:D11)</f>
        <v>11189.4</v>
      </c>
      <c r="E12" s="28">
        <f t="shared" si="2"/>
        <v>10147.199999999999</v>
      </c>
      <c r="F12" s="28">
        <f t="shared" si="2"/>
        <v>19841.010000000002</v>
      </c>
      <c r="G12" s="28">
        <f t="shared" si="2"/>
        <v>10782</v>
      </c>
      <c r="H12" s="28">
        <f t="shared" si="2"/>
        <v>11099.4</v>
      </c>
      <c r="I12" s="28">
        <f t="shared" si="2"/>
        <v>10782</v>
      </c>
      <c r="J12" s="28">
        <f t="shared" si="2"/>
        <v>11099.4</v>
      </c>
      <c r="K12" s="28">
        <f t="shared" si="2"/>
        <v>11099.4</v>
      </c>
      <c r="L12" s="28">
        <f t="shared" si="2"/>
        <v>10782</v>
      </c>
      <c r="M12" s="28">
        <f t="shared" si="2"/>
        <v>11099.4</v>
      </c>
      <c r="N12" s="28">
        <f t="shared" si="2"/>
        <v>10782</v>
      </c>
      <c r="O12" s="28">
        <f t="shared" si="2"/>
        <v>11099.4</v>
      </c>
      <c r="P12" s="28">
        <f t="shared" si="2"/>
        <v>139802.60999999999</v>
      </c>
      <c r="Q12" s="8">
        <f>P12-P6-P7-P9-P11</f>
        <v>23951.61</v>
      </c>
      <c r="R12" s="42"/>
    </row>
    <row r="13" spans="1:20" x14ac:dyDescent="0.3">
      <c r="A13" s="194" t="s">
        <v>7</v>
      </c>
      <c r="B13" s="19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2"/>
      <c r="R13" s="42"/>
    </row>
    <row r="14" spans="1:20" s="58" customFormat="1" x14ac:dyDescent="0.3">
      <c r="A14" s="26"/>
      <c r="B14" s="97" t="s">
        <v>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f>SUM(D14:O14)</f>
        <v>0</v>
      </c>
      <c r="Q14" s="42"/>
      <c r="R14" s="42"/>
    </row>
    <row r="15" spans="1:20" x14ac:dyDescent="0.3">
      <c r="A15" s="26"/>
      <c r="B15" s="97" t="s">
        <v>9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>
        <f>SUM(D15:O15)</f>
        <v>0</v>
      </c>
      <c r="Q15" s="42"/>
      <c r="R15" s="42"/>
    </row>
    <row r="16" spans="1:20" x14ac:dyDescent="0.3">
      <c r="A16" s="26"/>
      <c r="B16" s="97" t="s">
        <v>219</v>
      </c>
      <c r="C16" s="43"/>
      <c r="D16" s="43">
        <f>(7550*1.5)-607-187</f>
        <v>10531</v>
      </c>
      <c r="E16" s="43">
        <f>7550-607-187</f>
        <v>6756</v>
      </c>
      <c r="F16" s="43">
        <f t="shared" ref="F16:I16" si="3">7550-607-187</f>
        <v>6756</v>
      </c>
      <c r="G16" s="43">
        <f t="shared" si="3"/>
        <v>6756</v>
      </c>
      <c r="H16" s="43">
        <f t="shared" si="3"/>
        <v>6756</v>
      </c>
      <c r="I16" s="43">
        <f t="shared" si="3"/>
        <v>6756</v>
      </c>
      <c r="J16" s="43">
        <f>(7550*1.5)-607+4167-187</f>
        <v>14698</v>
      </c>
      <c r="K16" s="43">
        <f>7550-607+4167-187</f>
        <v>10923</v>
      </c>
      <c r="L16" s="43">
        <f t="shared" ref="L16:O16" si="4">7550-607+4167-187</f>
        <v>10923</v>
      </c>
      <c r="M16" s="43">
        <f t="shared" si="4"/>
        <v>10923</v>
      </c>
      <c r="N16" s="43">
        <f t="shared" si="4"/>
        <v>10923</v>
      </c>
      <c r="O16" s="43">
        <f t="shared" si="4"/>
        <v>10923</v>
      </c>
      <c r="P16" s="43">
        <f>SUM(D16:O16)</f>
        <v>113624</v>
      </c>
      <c r="Q16" s="42"/>
      <c r="R16" s="42"/>
      <c r="T16" t="s">
        <v>99</v>
      </c>
    </row>
    <row r="17" spans="1:18" x14ac:dyDescent="0.3">
      <c r="A17" s="26"/>
      <c r="B17" s="66" t="s">
        <v>16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>
        <f>SUM(D17:O17)</f>
        <v>0</v>
      </c>
      <c r="Q17" s="42"/>
      <c r="R17" s="42"/>
    </row>
    <row r="18" spans="1:18" x14ac:dyDescent="0.3">
      <c r="A18" s="194" t="s">
        <v>10</v>
      </c>
      <c r="B18" s="194"/>
      <c r="C18" s="43"/>
      <c r="D18" s="28">
        <f t="shared" ref="D18:P18" si="5">SUM(D14:D17)</f>
        <v>10531</v>
      </c>
      <c r="E18" s="28">
        <f t="shared" si="5"/>
        <v>6756</v>
      </c>
      <c r="F18" s="28">
        <f t="shared" si="5"/>
        <v>6756</v>
      </c>
      <c r="G18" s="28">
        <f t="shared" si="5"/>
        <v>6756</v>
      </c>
      <c r="H18" s="28">
        <f t="shared" si="5"/>
        <v>6756</v>
      </c>
      <c r="I18" s="28">
        <f t="shared" si="5"/>
        <v>6756</v>
      </c>
      <c r="J18" s="28">
        <f t="shared" si="5"/>
        <v>14698</v>
      </c>
      <c r="K18" s="28">
        <f t="shared" si="5"/>
        <v>10923</v>
      </c>
      <c r="L18" s="28">
        <f t="shared" si="5"/>
        <v>10923</v>
      </c>
      <c r="M18" s="28">
        <f t="shared" si="5"/>
        <v>10923</v>
      </c>
      <c r="N18" s="28">
        <f t="shared" si="5"/>
        <v>10923</v>
      </c>
      <c r="O18" s="28">
        <f t="shared" si="5"/>
        <v>10923</v>
      </c>
      <c r="P18" s="28">
        <f t="shared" si="5"/>
        <v>113624</v>
      </c>
      <c r="Q18" s="8">
        <f>P18-P14-P15-P16-P17</f>
        <v>0</v>
      </c>
      <c r="R18" s="42"/>
    </row>
    <row r="19" spans="1:18" x14ac:dyDescent="0.3">
      <c r="A19" s="194" t="s">
        <v>11</v>
      </c>
      <c r="B19" s="19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2"/>
      <c r="R19" s="42"/>
    </row>
    <row r="20" spans="1:18" x14ac:dyDescent="0.3">
      <c r="A20" s="26"/>
      <c r="B20" s="90" t="s">
        <v>12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>
        <f t="shared" ref="P20:P25" si="6">SUM(D20:O20)</f>
        <v>0</v>
      </c>
      <c r="Q20" s="42"/>
      <c r="R20" s="42"/>
    </row>
    <row r="21" spans="1:18" x14ac:dyDescent="0.3">
      <c r="A21" s="26"/>
      <c r="B21" s="90" t="s">
        <v>96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>
        <f t="shared" si="6"/>
        <v>0</v>
      </c>
      <c r="Q21" s="42"/>
      <c r="R21" s="42"/>
    </row>
    <row r="22" spans="1:18" x14ac:dyDescent="0.3">
      <c r="A22" s="26"/>
      <c r="B22" s="90" t="s">
        <v>97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>
        <f t="shared" si="6"/>
        <v>0</v>
      </c>
      <c r="Q22" s="42"/>
      <c r="R22" s="42"/>
    </row>
    <row r="23" spans="1:18" x14ac:dyDescent="0.3">
      <c r="A23" s="26"/>
      <c r="B23" s="90" t="s">
        <v>13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>
        <f t="shared" si="6"/>
        <v>0</v>
      </c>
      <c r="Q23" s="42"/>
      <c r="R23" s="42"/>
    </row>
    <row r="24" spans="1:18" x14ac:dyDescent="0.3">
      <c r="A24" s="26"/>
      <c r="B24" s="90" t="s">
        <v>14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>
        <f t="shared" si="6"/>
        <v>0</v>
      </c>
      <c r="Q24" s="42"/>
      <c r="R24" s="42"/>
    </row>
    <row r="25" spans="1:18" x14ac:dyDescent="0.3">
      <c r="A25" s="26"/>
      <c r="B25" s="26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>
        <f t="shared" si="6"/>
        <v>0</v>
      </c>
      <c r="Q25" s="42"/>
      <c r="R25" s="42"/>
    </row>
    <row r="26" spans="1:18" x14ac:dyDescent="0.3">
      <c r="A26" s="194" t="s">
        <v>15</v>
      </c>
      <c r="B26" s="194"/>
      <c r="C26" s="43"/>
      <c r="D26" s="28">
        <f t="shared" ref="D26:P26" si="7">SUM(D20:D25)</f>
        <v>0</v>
      </c>
      <c r="E26" s="28">
        <f t="shared" si="7"/>
        <v>0</v>
      </c>
      <c r="F26" s="28">
        <f t="shared" si="7"/>
        <v>0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si="7"/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8">
        <f t="shared" si="7"/>
        <v>0</v>
      </c>
      <c r="O26" s="28">
        <f t="shared" si="7"/>
        <v>0</v>
      </c>
      <c r="P26" s="28">
        <f t="shared" si="7"/>
        <v>0</v>
      </c>
      <c r="Q26" s="8">
        <f>SUM(P20:P25)-P26</f>
        <v>0</v>
      </c>
      <c r="R26" s="42"/>
    </row>
    <row r="27" spans="1:18" x14ac:dyDescent="0.3">
      <c r="A27" s="194" t="s">
        <v>16</v>
      </c>
      <c r="B27" s="194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2"/>
      <c r="R27" s="42"/>
    </row>
    <row r="28" spans="1:18" x14ac:dyDescent="0.3">
      <c r="A28" s="90" t="s">
        <v>17</v>
      </c>
      <c r="B28" s="90" t="s">
        <v>18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>
        <f>5464*1.03</f>
        <v>5627.92</v>
      </c>
      <c r="P28" s="43">
        <f>SUM(D28:O28)</f>
        <v>5627.92</v>
      </c>
      <c r="Q28" s="42"/>
      <c r="R28" s="42"/>
    </row>
    <row r="29" spans="1:18" x14ac:dyDescent="0.3">
      <c r="A29" s="90" t="s">
        <v>17</v>
      </c>
      <c r="B29" s="90" t="s">
        <v>19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>
        <f>SUM(D29:O29)</f>
        <v>0</v>
      </c>
      <c r="Q29" s="42"/>
      <c r="R29" s="42"/>
    </row>
    <row r="30" spans="1:18" x14ac:dyDescent="0.3">
      <c r="A30" s="90" t="s">
        <v>17</v>
      </c>
      <c r="B30" s="90" t="s">
        <v>20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>
        <f>SUM(D30:O30)</f>
        <v>0</v>
      </c>
      <c r="Q30" s="42"/>
      <c r="R30" s="42"/>
    </row>
    <row r="31" spans="1:18" x14ac:dyDescent="0.3">
      <c r="A31" s="90" t="s">
        <v>17</v>
      </c>
      <c r="B31" s="90" t="s">
        <v>21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>
        <f>SUM(D31:O31)</f>
        <v>0</v>
      </c>
      <c r="Q31" s="42"/>
      <c r="R31" s="42"/>
    </row>
    <row r="32" spans="1:18" x14ac:dyDescent="0.3">
      <c r="A32" s="26"/>
      <c r="B32" s="26"/>
      <c r="C32" s="43"/>
      <c r="D32" s="30">
        <f t="shared" ref="D32:P32" si="8">D12+D18+D26+D28+D29+D30+D31</f>
        <v>21720.400000000001</v>
      </c>
      <c r="E32" s="30">
        <f t="shared" si="8"/>
        <v>16903.199999999997</v>
      </c>
      <c r="F32" s="30">
        <f t="shared" si="8"/>
        <v>26597.010000000002</v>
      </c>
      <c r="G32" s="30">
        <f t="shared" si="8"/>
        <v>17538</v>
      </c>
      <c r="H32" s="30">
        <f t="shared" si="8"/>
        <v>17855.400000000001</v>
      </c>
      <c r="I32" s="30">
        <f t="shared" si="8"/>
        <v>17538</v>
      </c>
      <c r="J32" s="30">
        <f t="shared" si="8"/>
        <v>25797.4</v>
      </c>
      <c r="K32" s="30">
        <f t="shared" si="8"/>
        <v>22022.400000000001</v>
      </c>
      <c r="L32" s="30">
        <f t="shared" si="8"/>
        <v>21705</v>
      </c>
      <c r="M32" s="30">
        <f t="shared" si="8"/>
        <v>22022.400000000001</v>
      </c>
      <c r="N32" s="30">
        <f t="shared" si="8"/>
        <v>21705</v>
      </c>
      <c r="O32" s="30">
        <f t="shared" si="8"/>
        <v>27650.32</v>
      </c>
      <c r="P32" s="30">
        <f t="shared" si="8"/>
        <v>259054.53</v>
      </c>
      <c r="Q32" s="8">
        <f>SUM(P28:P31)*P32</f>
        <v>1457938170.4776001</v>
      </c>
      <c r="R32" s="42"/>
    </row>
    <row r="33" spans="1:18" x14ac:dyDescent="0.3">
      <c r="A33" s="26"/>
      <c r="B33" s="26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2"/>
      <c r="R33" s="42"/>
    </row>
    <row r="34" spans="1:18" x14ac:dyDescent="0.3">
      <c r="A34" s="194" t="s">
        <v>22</v>
      </c>
      <c r="B34" s="19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2"/>
      <c r="R34" s="42"/>
    </row>
    <row r="35" spans="1:18" x14ac:dyDescent="0.3">
      <c r="A35" s="26"/>
      <c r="B35" s="90" t="s">
        <v>23</v>
      </c>
      <c r="C35" s="43"/>
      <c r="D35" s="43">
        <f>Sheet22!I61</f>
        <v>20995.149600000001</v>
      </c>
      <c r="E35" s="43">
        <f>Sheet22!J61</f>
        <v>20995.149600000001</v>
      </c>
      <c r="F35" s="43">
        <f>Sheet22!K61</f>
        <v>31492.724399999999</v>
      </c>
      <c r="G35" s="43">
        <f>Sheet22!L61</f>
        <v>20995.149600000001</v>
      </c>
      <c r="H35" s="43">
        <f>Sheet22!M61</f>
        <v>20995.149600000001</v>
      </c>
      <c r="I35" s="43">
        <f>Sheet22!N61</f>
        <v>20995.149600000001</v>
      </c>
      <c r="J35" s="43">
        <f>Sheet22!O61</f>
        <v>20995.149600000001</v>
      </c>
      <c r="K35" s="43">
        <f>Sheet22!P61</f>
        <v>31492.724399999999</v>
      </c>
      <c r="L35" s="43">
        <f>Sheet22!Q61</f>
        <v>20995.149600000001</v>
      </c>
      <c r="M35" s="43">
        <f>Sheet22!R61</f>
        <v>20995.149600000001</v>
      </c>
      <c r="N35" s="43">
        <f>Sheet22!S61</f>
        <v>20995.149600000001</v>
      </c>
      <c r="O35" s="43">
        <f>Sheet22!T61</f>
        <v>20995.149600000001</v>
      </c>
      <c r="P35" s="43">
        <f t="shared" ref="P35:P42" si="9">SUM(D35:O35)</f>
        <v>272936.9448</v>
      </c>
      <c r="Q35" s="42"/>
      <c r="R35" s="42"/>
    </row>
    <row r="36" spans="1:18" x14ac:dyDescent="0.3">
      <c r="A36" s="26"/>
      <c r="B36" s="90" t="s">
        <v>24</v>
      </c>
      <c r="C36" s="43"/>
      <c r="D36" s="43">
        <f>D35*0.0735</f>
        <v>1543.1434956000001</v>
      </c>
      <c r="E36" s="43">
        <f t="shared" ref="E36:O36" si="10">E35*0.0735</f>
        <v>1543.1434956000001</v>
      </c>
      <c r="F36" s="43">
        <f t="shared" si="10"/>
        <v>2314.7152434</v>
      </c>
      <c r="G36" s="43">
        <f t="shared" si="10"/>
        <v>1543.1434956000001</v>
      </c>
      <c r="H36" s="43">
        <f t="shared" si="10"/>
        <v>1543.1434956000001</v>
      </c>
      <c r="I36" s="43">
        <f t="shared" si="10"/>
        <v>1543.1434956000001</v>
      </c>
      <c r="J36" s="43">
        <f t="shared" si="10"/>
        <v>1543.1434956000001</v>
      </c>
      <c r="K36" s="43">
        <f t="shared" si="10"/>
        <v>2314.7152434</v>
      </c>
      <c r="L36" s="43">
        <f t="shared" si="10"/>
        <v>1543.1434956000001</v>
      </c>
      <c r="M36" s="43">
        <f t="shared" si="10"/>
        <v>1543.1434956000001</v>
      </c>
      <c r="N36" s="43">
        <f t="shared" si="10"/>
        <v>1543.1434956000001</v>
      </c>
      <c r="O36" s="43">
        <f t="shared" si="10"/>
        <v>1543.1434956000001</v>
      </c>
      <c r="P36" s="43">
        <f t="shared" si="9"/>
        <v>20060.865442800001</v>
      </c>
      <c r="Q36" s="42"/>
      <c r="R36" s="42"/>
    </row>
    <row r="37" spans="1:18" x14ac:dyDescent="0.3">
      <c r="A37" s="26"/>
      <c r="B37" s="90" t="s">
        <v>25</v>
      </c>
      <c r="C37" s="43"/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f t="shared" si="9"/>
        <v>0</v>
      </c>
      <c r="Q37" s="42"/>
      <c r="R37" s="42"/>
    </row>
    <row r="38" spans="1:18" x14ac:dyDescent="0.3">
      <c r="A38" s="26"/>
      <c r="B38" s="90" t="s">
        <v>26</v>
      </c>
      <c r="C38" s="43"/>
      <c r="D38" s="43">
        <f>D35*0.12042</f>
        <v>2528.2359148320002</v>
      </c>
      <c r="E38" s="43">
        <f>E35*0.120421</f>
        <v>2528.2569099816001</v>
      </c>
      <c r="F38" s="43">
        <f t="shared" ref="F38:O38" si="11">F35*0.120421</f>
        <v>3792.3853649724001</v>
      </c>
      <c r="G38" s="43">
        <f t="shared" si="11"/>
        <v>2528.2569099816001</v>
      </c>
      <c r="H38" s="43">
        <f t="shared" si="11"/>
        <v>2528.2569099816001</v>
      </c>
      <c r="I38" s="43">
        <f t="shared" si="11"/>
        <v>2528.2569099816001</v>
      </c>
      <c r="J38" s="43">
        <f t="shared" si="11"/>
        <v>2528.2569099816001</v>
      </c>
      <c r="K38" s="43">
        <f t="shared" si="11"/>
        <v>3792.3853649724001</v>
      </c>
      <c r="L38" s="43">
        <f t="shared" si="11"/>
        <v>2528.2569099816001</v>
      </c>
      <c r="M38" s="43">
        <f t="shared" si="11"/>
        <v>2528.2569099816001</v>
      </c>
      <c r="N38" s="43">
        <f t="shared" si="11"/>
        <v>2528.2569099816001</v>
      </c>
      <c r="O38" s="43">
        <f t="shared" si="11"/>
        <v>2528.2569099816001</v>
      </c>
      <c r="P38" s="43">
        <f t="shared" si="9"/>
        <v>32867.3188346112</v>
      </c>
      <c r="Q38" s="42"/>
      <c r="R38" s="42"/>
    </row>
    <row r="39" spans="1:18" x14ac:dyDescent="0.3">
      <c r="A39" s="26"/>
      <c r="B39" s="90" t="s">
        <v>27</v>
      </c>
      <c r="C39" s="43"/>
      <c r="D39" s="43">
        <f>D35*0.0112</f>
        <v>235.14567552</v>
      </c>
      <c r="E39" s="43">
        <f t="shared" ref="E39:O39" si="12">E35*0.0112</f>
        <v>235.14567552</v>
      </c>
      <c r="F39" s="43">
        <f t="shared" si="12"/>
        <v>352.71851327999997</v>
      </c>
      <c r="G39" s="43">
        <f t="shared" si="12"/>
        <v>235.14567552</v>
      </c>
      <c r="H39" s="43">
        <f t="shared" si="12"/>
        <v>235.14567552</v>
      </c>
      <c r="I39" s="43">
        <f t="shared" si="12"/>
        <v>235.14567552</v>
      </c>
      <c r="J39" s="43">
        <f t="shared" si="12"/>
        <v>235.14567552</v>
      </c>
      <c r="K39" s="43">
        <f t="shared" si="12"/>
        <v>352.71851327999997</v>
      </c>
      <c r="L39" s="43">
        <f t="shared" si="12"/>
        <v>235.14567552</v>
      </c>
      <c r="M39" s="43">
        <f t="shared" si="12"/>
        <v>235.14567552</v>
      </c>
      <c r="N39" s="43">
        <f t="shared" si="12"/>
        <v>235.14567552</v>
      </c>
      <c r="O39" s="43">
        <f t="shared" si="12"/>
        <v>235.14567552</v>
      </c>
      <c r="P39" s="43">
        <f t="shared" si="9"/>
        <v>3056.8937817600004</v>
      </c>
      <c r="Q39" s="65">
        <f>P39/P35</f>
        <v>1.1200000000000002E-2</v>
      </c>
      <c r="R39" s="42"/>
    </row>
    <row r="40" spans="1:18" x14ac:dyDescent="0.3">
      <c r="A40" s="26"/>
      <c r="B40" s="90" t="s">
        <v>28</v>
      </c>
      <c r="C40" s="43"/>
      <c r="D40" s="43">
        <f>D35*0.028</f>
        <v>587.86418880000008</v>
      </c>
      <c r="E40" s="43">
        <f t="shared" ref="E40:O40" si="13">E35*0.028</f>
        <v>587.86418880000008</v>
      </c>
      <c r="F40" s="43">
        <f t="shared" si="13"/>
        <v>881.79628319999995</v>
      </c>
      <c r="G40" s="43">
        <f t="shared" si="13"/>
        <v>587.86418880000008</v>
      </c>
      <c r="H40" s="43">
        <f t="shared" si="13"/>
        <v>587.86418880000008</v>
      </c>
      <c r="I40" s="43">
        <f t="shared" si="13"/>
        <v>587.86418880000008</v>
      </c>
      <c r="J40" s="43">
        <f t="shared" si="13"/>
        <v>587.86418880000008</v>
      </c>
      <c r="K40" s="43">
        <f t="shared" si="13"/>
        <v>881.79628319999995</v>
      </c>
      <c r="L40" s="43">
        <f t="shared" si="13"/>
        <v>587.86418880000008</v>
      </c>
      <c r="M40" s="43">
        <f t="shared" si="13"/>
        <v>587.86418880000008</v>
      </c>
      <c r="N40" s="43">
        <f t="shared" si="13"/>
        <v>587.86418880000008</v>
      </c>
      <c r="O40" s="43">
        <f t="shared" si="13"/>
        <v>587.86418880000008</v>
      </c>
      <c r="P40" s="43">
        <f t="shared" si="9"/>
        <v>7642.2344544000016</v>
      </c>
      <c r="Q40" s="42"/>
      <c r="R40" s="42"/>
    </row>
    <row r="41" spans="1:18" x14ac:dyDescent="0.3">
      <c r="A41" s="26"/>
      <c r="B41" s="90" t="s">
        <v>29</v>
      </c>
      <c r="C41" s="43"/>
      <c r="D41" s="43">
        <f>D35*0.01373</f>
        <v>288.26340400800001</v>
      </c>
      <c r="E41" s="43">
        <f t="shared" ref="E41:O41" si="14">E35*0.01373</f>
        <v>288.26340400800001</v>
      </c>
      <c r="F41" s="43">
        <f t="shared" si="14"/>
        <v>432.39510601199999</v>
      </c>
      <c r="G41" s="43">
        <f t="shared" si="14"/>
        <v>288.26340400800001</v>
      </c>
      <c r="H41" s="43">
        <f t="shared" si="14"/>
        <v>288.26340400800001</v>
      </c>
      <c r="I41" s="43">
        <f t="shared" si="14"/>
        <v>288.26340400800001</v>
      </c>
      <c r="J41" s="43">
        <f t="shared" si="14"/>
        <v>288.26340400800001</v>
      </c>
      <c r="K41" s="43">
        <f t="shared" si="14"/>
        <v>432.39510601199999</v>
      </c>
      <c r="L41" s="43">
        <f t="shared" si="14"/>
        <v>288.26340400800001</v>
      </c>
      <c r="M41" s="43">
        <f t="shared" si="14"/>
        <v>288.26340400800001</v>
      </c>
      <c r="N41" s="43">
        <f t="shared" si="14"/>
        <v>288.26340400800001</v>
      </c>
      <c r="O41" s="43">
        <f t="shared" si="14"/>
        <v>288.26340400800001</v>
      </c>
      <c r="P41" s="43">
        <f t="shared" si="9"/>
        <v>3747.4242521040005</v>
      </c>
      <c r="Q41" s="42"/>
      <c r="R41" s="42"/>
    </row>
    <row r="42" spans="1:18" x14ac:dyDescent="0.3">
      <c r="A42" s="26"/>
      <c r="B42" s="90" t="s">
        <v>30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>
        <f t="shared" si="9"/>
        <v>0</v>
      </c>
      <c r="Q42" s="42"/>
      <c r="R42" s="42"/>
    </row>
    <row r="43" spans="1:18" x14ac:dyDescent="0.3">
      <c r="A43" s="194" t="s">
        <v>31</v>
      </c>
      <c r="B43" s="194"/>
      <c r="C43" s="43"/>
      <c r="D43" s="28">
        <f t="shared" ref="D43:I43" si="15">SUM(D35:D42)</f>
        <v>26177.802278760002</v>
      </c>
      <c r="E43" s="28">
        <f t="shared" si="15"/>
        <v>26177.823273909602</v>
      </c>
      <c r="F43" s="28">
        <f t="shared" si="15"/>
        <v>39266.734910864398</v>
      </c>
      <c r="G43" s="28">
        <f t="shared" si="15"/>
        <v>26177.823273909602</v>
      </c>
      <c r="H43" s="28">
        <f t="shared" si="15"/>
        <v>26177.823273909602</v>
      </c>
      <c r="I43" s="28">
        <f t="shared" si="15"/>
        <v>26177.823273909602</v>
      </c>
      <c r="J43" s="28">
        <f t="shared" ref="J43:P43" si="16">SUM(J35:J42)</f>
        <v>26177.823273909602</v>
      </c>
      <c r="K43" s="28">
        <f t="shared" si="16"/>
        <v>39266.734910864398</v>
      </c>
      <c r="L43" s="28">
        <f t="shared" si="16"/>
        <v>26177.823273909602</v>
      </c>
      <c r="M43" s="28">
        <f t="shared" si="16"/>
        <v>26177.823273909602</v>
      </c>
      <c r="N43" s="28">
        <f t="shared" si="16"/>
        <v>26177.823273909602</v>
      </c>
      <c r="O43" s="28">
        <f t="shared" si="16"/>
        <v>26177.823273909602</v>
      </c>
      <c r="P43" s="28">
        <f t="shared" si="16"/>
        <v>340311.68156567524</v>
      </c>
      <c r="Q43" s="8">
        <f>SUM(P35:P42)</f>
        <v>340311.68156567524</v>
      </c>
      <c r="R43" s="42"/>
    </row>
    <row r="44" spans="1:18" x14ac:dyDescent="0.3">
      <c r="A44" s="194" t="s">
        <v>32</v>
      </c>
      <c r="B44" s="19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2"/>
      <c r="R44" s="42"/>
    </row>
    <row r="45" spans="1:18" x14ac:dyDescent="0.3">
      <c r="A45" s="26"/>
      <c r="B45" s="90" t="s">
        <v>33</v>
      </c>
      <c r="C45" s="43"/>
      <c r="D45" s="115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2"/>
      <c r="R45" s="42"/>
    </row>
    <row r="46" spans="1:18" x14ac:dyDescent="0.3">
      <c r="A46" s="26"/>
      <c r="B46" s="90" t="s">
        <v>34</v>
      </c>
      <c r="C46" s="43"/>
      <c r="D46" s="115">
        <v>25</v>
      </c>
      <c r="E46" s="115">
        <v>25</v>
      </c>
      <c r="F46" s="115">
        <v>25</v>
      </c>
      <c r="G46" s="115">
        <v>25</v>
      </c>
      <c r="H46" s="115">
        <v>25</v>
      </c>
      <c r="I46" s="115">
        <v>25</v>
      </c>
      <c r="J46" s="115">
        <v>25</v>
      </c>
      <c r="K46" s="115">
        <v>25</v>
      </c>
      <c r="L46" s="115">
        <v>25</v>
      </c>
      <c r="M46" s="115">
        <v>25</v>
      </c>
      <c r="N46" s="115">
        <v>25</v>
      </c>
      <c r="O46" s="115">
        <v>25</v>
      </c>
      <c r="P46" s="43">
        <f>SUM(D46:O46)</f>
        <v>300</v>
      </c>
      <c r="Q46" s="42"/>
      <c r="R46" s="42"/>
    </row>
    <row r="47" spans="1:18" x14ac:dyDescent="0.3">
      <c r="A47" s="26"/>
      <c r="B47" s="90" t="s">
        <v>35</v>
      </c>
      <c r="C47" s="43"/>
      <c r="D47" s="115">
        <v>50</v>
      </c>
      <c r="E47" s="115">
        <v>50</v>
      </c>
      <c r="F47" s="115">
        <v>50</v>
      </c>
      <c r="G47" s="115">
        <v>50</v>
      </c>
      <c r="H47" s="115">
        <v>50</v>
      </c>
      <c r="I47" s="115">
        <v>50</v>
      </c>
      <c r="J47" s="115">
        <v>50</v>
      </c>
      <c r="K47" s="115">
        <v>50</v>
      </c>
      <c r="L47" s="115">
        <v>50</v>
      </c>
      <c r="M47" s="115">
        <v>50</v>
      </c>
      <c r="N47" s="115">
        <v>50</v>
      </c>
      <c r="O47" s="115">
        <v>50</v>
      </c>
      <c r="P47" s="115">
        <v>600</v>
      </c>
      <c r="Q47" s="42" t="s">
        <v>225</v>
      </c>
      <c r="R47" s="42"/>
    </row>
    <row r="48" spans="1:18" x14ac:dyDescent="0.3">
      <c r="A48" s="26"/>
      <c r="B48" s="90" t="s">
        <v>36</v>
      </c>
      <c r="C48" s="43"/>
      <c r="D48" s="115">
        <v>25</v>
      </c>
      <c r="E48" s="43">
        <v>25</v>
      </c>
      <c r="F48" s="43">
        <v>25</v>
      </c>
      <c r="G48" s="43">
        <v>25</v>
      </c>
      <c r="H48" s="43">
        <v>25</v>
      </c>
      <c r="I48" s="43">
        <v>25</v>
      </c>
      <c r="J48" s="43">
        <v>25</v>
      </c>
      <c r="K48" s="43">
        <v>25</v>
      </c>
      <c r="L48" s="43">
        <v>25</v>
      </c>
      <c r="M48" s="43">
        <v>25</v>
      </c>
      <c r="N48" s="43">
        <v>25</v>
      </c>
      <c r="O48" s="43">
        <v>25</v>
      </c>
      <c r="P48" s="43">
        <f>SUM(D48:O48)</f>
        <v>300</v>
      </c>
      <c r="Q48" s="42" t="s">
        <v>257</v>
      </c>
      <c r="R48" s="42"/>
    </row>
    <row r="49" spans="1:19" x14ac:dyDescent="0.3">
      <c r="A49" s="26"/>
      <c r="B49" s="90" t="s">
        <v>37</v>
      </c>
      <c r="C49" s="43"/>
      <c r="D49" s="116">
        <v>10</v>
      </c>
      <c r="E49" s="43">
        <v>10</v>
      </c>
      <c r="F49" s="43">
        <v>10</v>
      </c>
      <c r="G49" s="43">
        <v>10</v>
      </c>
      <c r="H49" s="43">
        <v>10</v>
      </c>
      <c r="I49" s="43">
        <v>10</v>
      </c>
      <c r="J49" s="43">
        <v>10</v>
      </c>
      <c r="K49" s="43">
        <v>10</v>
      </c>
      <c r="L49" s="43">
        <v>10</v>
      </c>
      <c r="M49" s="43">
        <v>10</v>
      </c>
      <c r="N49" s="43">
        <v>10</v>
      </c>
      <c r="O49" s="43">
        <v>10</v>
      </c>
      <c r="P49" s="43">
        <f>SUM(D49:O49)</f>
        <v>120</v>
      </c>
      <c r="Q49" s="42"/>
      <c r="R49" s="42"/>
    </row>
    <row r="50" spans="1:19" s="42" customFormat="1" x14ac:dyDescent="0.3">
      <c r="A50" s="26"/>
      <c r="B50" s="92" t="s">
        <v>194</v>
      </c>
      <c r="C50" s="43"/>
      <c r="D50" s="43">
        <v>200</v>
      </c>
      <c r="E50" s="43">
        <v>200</v>
      </c>
      <c r="F50" s="43">
        <v>200</v>
      </c>
      <c r="G50" s="43">
        <v>200</v>
      </c>
      <c r="H50" s="43">
        <v>200</v>
      </c>
      <c r="I50" s="43">
        <v>200</v>
      </c>
      <c r="J50" s="43">
        <v>200</v>
      </c>
      <c r="K50" s="43">
        <v>200</v>
      </c>
      <c r="L50" s="43">
        <v>200</v>
      </c>
      <c r="M50" s="43">
        <v>200</v>
      </c>
      <c r="N50" s="43">
        <v>200</v>
      </c>
      <c r="O50" s="43">
        <v>200</v>
      </c>
      <c r="P50" s="43">
        <f>SUM(D50:O50)</f>
        <v>2400</v>
      </c>
      <c r="Q50" s="42" t="s">
        <v>261</v>
      </c>
    </row>
    <row r="51" spans="1:19" x14ac:dyDescent="0.3">
      <c r="A51" s="26"/>
      <c r="B51" s="90" t="s">
        <v>258</v>
      </c>
      <c r="C51" s="43"/>
      <c r="D51" s="43">
        <v>216</v>
      </c>
      <c r="E51" s="43">
        <v>216</v>
      </c>
      <c r="F51" s="43">
        <v>216</v>
      </c>
      <c r="G51" s="43">
        <v>216</v>
      </c>
      <c r="H51" s="43">
        <v>216</v>
      </c>
      <c r="I51" s="43">
        <v>216</v>
      </c>
      <c r="J51" s="43">
        <v>216</v>
      </c>
      <c r="K51" s="43">
        <v>216</v>
      </c>
      <c r="L51" s="43">
        <v>216</v>
      </c>
      <c r="M51" s="43">
        <v>216</v>
      </c>
      <c r="N51" s="43">
        <v>216</v>
      </c>
      <c r="O51" s="43">
        <v>216</v>
      </c>
      <c r="P51" s="43">
        <v>2592</v>
      </c>
      <c r="Q51" s="42"/>
      <c r="R51" s="42"/>
    </row>
    <row r="52" spans="1:19" x14ac:dyDescent="0.3">
      <c r="A52" s="26"/>
      <c r="B52" s="90" t="s">
        <v>39</v>
      </c>
      <c r="C52" s="43"/>
      <c r="D52" s="43">
        <v>25</v>
      </c>
      <c r="E52" s="43">
        <v>25</v>
      </c>
      <c r="F52" s="43">
        <v>25</v>
      </c>
      <c r="G52" s="43">
        <v>25</v>
      </c>
      <c r="H52" s="43">
        <v>25</v>
      </c>
      <c r="I52" s="43">
        <v>25</v>
      </c>
      <c r="J52" s="43">
        <v>25</v>
      </c>
      <c r="K52" s="43">
        <v>25</v>
      </c>
      <c r="L52" s="43">
        <v>25</v>
      </c>
      <c r="M52" s="43">
        <v>25</v>
      </c>
      <c r="N52" s="43">
        <v>25</v>
      </c>
      <c r="O52" s="43">
        <v>25</v>
      </c>
      <c r="P52" s="43">
        <f>SUM(D52:O52)</f>
        <v>300</v>
      </c>
      <c r="Q52" s="42"/>
      <c r="R52" s="42"/>
    </row>
    <row r="53" spans="1:19" x14ac:dyDescent="0.3">
      <c r="A53" s="194" t="s">
        <v>40</v>
      </c>
      <c r="B53" s="194"/>
      <c r="C53" s="43"/>
      <c r="D53" s="28">
        <f t="shared" ref="D53:P53" si="17">SUM(D45:D52)</f>
        <v>551</v>
      </c>
      <c r="E53" s="28">
        <f t="shared" si="17"/>
        <v>551</v>
      </c>
      <c r="F53" s="28">
        <f t="shared" si="17"/>
        <v>551</v>
      </c>
      <c r="G53" s="28">
        <f t="shared" si="17"/>
        <v>551</v>
      </c>
      <c r="H53" s="28">
        <f t="shared" si="17"/>
        <v>551</v>
      </c>
      <c r="I53" s="28">
        <f t="shared" si="17"/>
        <v>551</v>
      </c>
      <c r="J53" s="28">
        <f t="shared" si="17"/>
        <v>551</v>
      </c>
      <c r="K53" s="28">
        <f t="shared" si="17"/>
        <v>551</v>
      </c>
      <c r="L53" s="28">
        <f t="shared" si="17"/>
        <v>551</v>
      </c>
      <c r="M53" s="28">
        <f t="shared" si="17"/>
        <v>551</v>
      </c>
      <c r="N53" s="28">
        <f t="shared" si="17"/>
        <v>551</v>
      </c>
      <c r="O53" s="28">
        <f t="shared" si="17"/>
        <v>551</v>
      </c>
      <c r="P53" s="28">
        <f t="shared" si="17"/>
        <v>6612</v>
      </c>
      <c r="Q53" s="8"/>
      <c r="R53" s="42"/>
    </row>
    <row r="54" spans="1:19" x14ac:dyDescent="0.3">
      <c r="A54" s="194" t="s">
        <v>41</v>
      </c>
      <c r="B54" s="194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2"/>
      <c r="R54" s="42"/>
    </row>
    <row r="55" spans="1:19" x14ac:dyDescent="0.3">
      <c r="A55" s="26"/>
      <c r="B55" s="90" t="s">
        <v>42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f t="shared" ref="P55:P83" si="18">SUM(D55:O55)</f>
        <v>0</v>
      </c>
      <c r="Q55" s="42"/>
      <c r="R55" s="42"/>
    </row>
    <row r="56" spans="1:19" x14ac:dyDescent="0.3">
      <c r="A56" s="26"/>
      <c r="B56" s="90" t="s">
        <v>43</v>
      </c>
      <c r="C56" s="43"/>
      <c r="D56" s="42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>
        <f t="shared" si="18"/>
        <v>0</v>
      </c>
      <c r="Q56" s="43"/>
      <c r="R56" s="42"/>
    </row>
    <row r="57" spans="1:19" x14ac:dyDescent="0.3">
      <c r="A57" s="26"/>
      <c r="B57" s="90" t="s">
        <v>44</v>
      </c>
      <c r="C57" s="43"/>
      <c r="D57" s="43">
        <v>100</v>
      </c>
      <c r="E57" s="43">
        <v>100</v>
      </c>
      <c r="F57" s="43">
        <v>100</v>
      </c>
      <c r="G57" s="43">
        <v>100</v>
      </c>
      <c r="H57" s="43">
        <v>100</v>
      </c>
      <c r="I57" s="43">
        <v>100</v>
      </c>
      <c r="J57" s="43">
        <v>100</v>
      </c>
      <c r="K57" s="43">
        <v>100</v>
      </c>
      <c r="L57" s="43">
        <v>100</v>
      </c>
      <c r="M57" s="43">
        <v>100</v>
      </c>
      <c r="N57" s="43">
        <v>100</v>
      </c>
      <c r="O57" s="43">
        <v>100</v>
      </c>
      <c r="P57" s="43">
        <f t="shared" si="18"/>
        <v>1200</v>
      </c>
      <c r="Q57" s="42"/>
      <c r="R57" s="42"/>
    </row>
    <row r="58" spans="1:19" x14ac:dyDescent="0.3">
      <c r="A58" s="26"/>
      <c r="B58" s="90" t="s">
        <v>45</v>
      </c>
      <c r="C58" s="43"/>
      <c r="D58" s="43">
        <v>50</v>
      </c>
      <c r="E58" s="43">
        <v>50</v>
      </c>
      <c r="F58" s="43">
        <v>50</v>
      </c>
      <c r="G58" s="43">
        <v>50</v>
      </c>
      <c r="H58" s="43">
        <v>50</v>
      </c>
      <c r="I58" s="43">
        <v>50</v>
      </c>
      <c r="J58" s="43">
        <v>50</v>
      </c>
      <c r="K58" s="43">
        <v>50</v>
      </c>
      <c r="L58" s="43">
        <v>50</v>
      </c>
      <c r="M58" s="43">
        <v>50</v>
      </c>
      <c r="N58" s="43">
        <v>50</v>
      </c>
      <c r="O58" s="43">
        <v>50</v>
      </c>
      <c r="P58" s="43">
        <f t="shared" si="18"/>
        <v>600</v>
      </c>
      <c r="Q58" s="43"/>
      <c r="R58" s="42"/>
    </row>
    <row r="59" spans="1:19" x14ac:dyDescent="0.3">
      <c r="A59" s="26"/>
      <c r="B59" s="90" t="s">
        <v>46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f t="shared" si="18"/>
        <v>0</v>
      </c>
      <c r="Q59" s="42"/>
      <c r="R59" s="42"/>
    </row>
    <row r="60" spans="1:19" x14ac:dyDescent="0.3">
      <c r="A60" s="26"/>
      <c r="B60" s="90" t="s">
        <v>47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f t="shared" si="18"/>
        <v>0</v>
      </c>
      <c r="Q60" s="42"/>
      <c r="R60" s="42"/>
    </row>
    <row r="61" spans="1:19" x14ac:dyDescent="0.3">
      <c r="A61" s="26"/>
      <c r="B61" s="90" t="s">
        <v>48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f t="shared" si="18"/>
        <v>0</v>
      </c>
      <c r="Q61" s="42"/>
      <c r="R61" s="42"/>
    </row>
    <row r="62" spans="1:19" x14ac:dyDescent="0.3">
      <c r="A62" s="26"/>
      <c r="B62" s="90" t="s">
        <v>49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>
        <f t="shared" si="18"/>
        <v>0</v>
      </c>
      <c r="Q62" s="42"/>
      <c r="R62" s="42"/>
    </row>
    <row r="63" spans="1:19" x14ac:dyDescent="0.3">
      <c r="A63" s="26"/>
      <c r="B63" s="90" t="s">
        <v>50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f t="shared" si="18"/>
        <v>0</v>
      </c>
      <c r="Q63" s="117"/>
      <c r="R63" s="118"/>
      <c r="S63" s="118"/>
    </row>
    <row r="64" spans="1:19" x14ac:dyDescent="0.3">
      <c r="A64" s="26"/>
      <c r="B64" s="90" t="s">
        <v>51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18"/>
        <v>0</v>
      </c>
      <c r="Q64" s="118"/>
      <c r="R64" s="118"/>
      <c r="S64" s="118"/>
    </row>
    <row r="65" spans="1:24" x14ac:dyDescent="0.3">
      <c r="A65" s="26"/>
      <c r="B65" s="90" t="s">
        <v>52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>
        <f t="shared" si="18"/>
        <v>0</v>
      </c>
      <c r="Q65" s="117"/>
      <c r="R65" s="118"/>
      <c r="S65" s="118"/>
    </row>
    <row r="66" spans="1:24" x14ac:dyDescent="0.3">
      <c r="A66" s="26"/>
      <c r="B66" s="90" t="s">
        <v>53</v>
      </c>
      <c r="C66" s="43"/>
      <c r="D66" s="43">
        <v>150</v>
      </c>
      <c r="E66" s="43">
        <v>150</v>
      </c>
      <c r="F66" s="43">
        <v>150</v>
      </c>
      <c r="G66" s="43">
        <v>150</v>
      </c>
      <c r="H66" s="43">
        <v>150</v>
      </c>
      <c r="I66" s="43">
        <v>150</v>
      </c>
      <c r="J66" s="43">
        <v>150</v>
      </c>
      <c r="K66" s="43">
        <v>150</v>
      </c>
      <c r="L66" s="43">
        <v>150</v>
      </c>
      <c r="M66" s="43">
        <v>150</v>
      </c>
      <c r="N66" s="43">
        <v>150</v>
      </c>
      <c r="O66" s="43">
        <v>150</v>
      </c>
      <c r="P66" s="43">
        <f t="shared" si="18"/>
        <v>1800</v>
      </c>
      <c r="Q66" s="43"/>
      <c r="R66" s="42"/>
    </row>
    <row r="67" spans="1:24" x14ac:dyDescent="0.3">
      <c r="A67" s="26"/>
      <c r="B67" s="90" t="s">
        <v>54</v>
      </c>
      <c r="C67" s="43"/>
      <c r="D67" s="43">
        <v>92</v>
      </c>
      <c r="E67" s="43">
        <v>92</v>
      </c>
      <c r="F67" s="43">
        <v>92</v>
      </c>
      <c r="G67" s="43">
        <v>92</v>
      </c>
      <c r="H67" s="43">
        <v>92</v>
      </c>
      <c r="I67" s="43">
        <v>92</v>
      </c>
      <c r="J67" s="43">
        <v>92</v>
      </c>
      <c r="K67" s="43">
        <v>92</v>
      </c>
      <c r="L67" s="43">
        <v>92</v>
      </c>
      <c r="M67" s="43">
        <v>92</v>
      </c>
      <c r="N67" s="43">
        <v>92</v>
      </c>
      <c r="O67" s="43">
        <v>92</v>
      </c>
      <c r="P67" s="43">
        <f t="shared" si="18"/>
        <v>1104</v>
      </c>
      <c r="Q67" s="42"/>
      <c r="R67" s="42"/>
    </row>
    <row r="68" spans="1:24" x14ac:dyDescent="0.3">
      <c r="A68" s="26"/>
      <c r="B68" s="90" t="s">
        <v>55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>
        <f t="shared" si="18"/>
        <v>0</v>
      </c>
      <c r="Q68" s="42"/>
      <c r="R68" s="42"/>
    </row>
    <row r="69" spans="1:24" x14ac:dyDescent="0.3">
      <c r="A69" s="26"/>
      <c r="B69" s="90" t="s">
        <v>56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>
        <f t="shared" si="18"/>
        <v>0</v>
      </c>
      <c r="Q69" s="42"/>
      <c r="R69" s="42"/>
    </row>
    <row r="70" spans="1:24" x14ac:dyDescent="0.3">
      <c r="A70" s="26"/>
      <c r="B70" s="90" t="s">
        <v>57</v>
      </c>
      <c r="C70" s="43"/>
      <c r="D70" s="43">
        <v>161</v>
      </c>
      <c r="E70" s="43">
        <v>161</v>
      </c>
      <c r="F70" s="43">
        <v>161</v>
      </c>
      <c r="G70" s="43">
        <v>161</v>
      </c>
      <c r="H70" s="43">
        <v>161</v>
      </c>
      <c r="I70" s="43">
        <v>161</v>
      </c>
      <c r="J70" s="43">
        <v>161</v>
      </c>
      <c r="K70" s="43">
        <v>161</v>
      </c>
      <c r="L70" s="43">
        <v>161</v>
      </c>
      <c r="M70" s="43">
        <v>161</v>
      </c>
      <c r="N70" s="43">
        <v>161</v>
      </c>
      <c r="O70" s="43">
        <v>161</v>
      </c>
      <c r="P70" s="43">
        <f t="shared" si="18"/>
        <v>1932</v>
      </c>
      <c r="Q70" s="42"/>
      <c r="R70" s="42"/>
    </row>
    <row r="71" spans="1:24" x14ac:dyDescent="0.3">
      <c r="A71" s="26"/>
      <c r="B71" s="90" t="s">
        <v>58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>
        <f t="shared" si="18"/>
        <v>0</v>
      </c>
      <c r="Q71" s="42"/>
      <c r="R71" s="42"/>
    </row>
    <row r="72" spans="1:24" x14ac:dyDescent="0.3">
      <c r="A72" s="26"/>
      <c r="B72" s="90" t="s">
        <v>59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>
        <f t="shared" si="18"/>
        <v>0</v>
      </c>
      <c r="Q72" s="42"/>
      <c r="R72" s="42"/>
    </row>
    <row r="73" spans="1:24" x14ac:dyDescent="0.3">
      <c r="A73" s="26"/>
      <c r="B73" s="90" t="s">
        <v>60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>
        <f t="shared" si="18"/>
        <v>0</v>
      </c>
      <c r="Q73" s="42"/>
      <c r="R73" s="42"/>
    </row>
    <row r="74" spans="1:24" x14ac:dyDescent="0.3">
      <c r="A74" s="26"/>
      <c r="B74" s="90" t="s">
        <v>61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 t="shared" si="18"/>
        <v>0</v>
      </c>
      <c r="Q74" s="42"/>
      <c r="R74" s="42"/>
    </row>
    <row r="75" spans="1:24" x14ac:dyDescent="0.3">
      <c r="A75" s="26"/>
      <c r="B75" s="90" t="s">
        <v>62</v>
      </c>
      <c r="C75" s="43"/>
      <c r="D75" s="43">
        <v>34</v>
      </c>
      <c r="E75" s="43">
        <v>34</v>
      </c>
      <c r="F75" s="43">
        <v>34</v>
      </c>
      <c r="G75" s="43">
        <v>34</v>
      </c>
      <c r="H75" s="43">
        <v>34</v>
      </c>
      <c r="I75" s="43">
        <v>34</v>
      </c>
      <c r="J75" s="43">
        <v>34</v>
      </c>
      <c r="K75" s="43">
        <v>34</v>
      </c>
      <c r="L75" s="43">
        <v>34</v>
      </c>
      <c r="M75" s="43">
        <v>34</v>
      </c>
      <c r="N75" s="43">
        <v>34</v>
      </c>
      <c r="O75" s="43">
        <v>34</v>
      </c>
      <c r="P75" s="43">
        <f>SUM(D75:O75)</f>
        <v>408</v>
      </c>
      <c r="Q75" s="117" t="s">
        <v>259</v>
      </c>
      <c r="R75" s="118"/>
      <c r="S75" s="118"/>
      <c r="T75" s="118"/>
    </row>
    <row r="76" spans="1:24" x14ac:dyDescent="0.3">
      <c r="A76" s="26"/>
      <c r="B76" s="90" t="s">
        <v>63</v>
      </c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>
        <f t="shared" si="18"/>
        <v>0</v>
      </c>
      <c r="Q76" s="42"/>
      <c r="R76" s="43"/>
      <c r="S76" s="43"/>
      <c r="T76" s="43"/>
      <c r="U76" s="43"/>
      <c r="V76" s="43"/>
      <c r="W76" s="43" t="s">
        <v>226</v>
      </c>
      <c r="X76" s="43"/>
    </row>
    <row r="77" spans="1:24" x14ac:dyDescent="0.3">
      <c r="A77" s="90" t="s">
        <v>17</v>
      </c>
      <c r="B77" s="90" t="s">
        <v>64</v>
      </c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>
        <f t="shared" si="18"/>
        <v>0</v>
      </c>
      <c r="Q77" s="42"/>
      <c r="R77" s="42"/>
    </row>
    <row r="78" spans="1:24" x14ac:dyDescent="0.3">
      <c r="A78" s="26"/>
      <c r="B78" s="90" t="s">
        <v>65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>
        <f t="shared" si="18"/>
        <v>0</v>
      </c>
      <c r="Q78" s="42"/>
      <c r="R78" s="42"/>
    </row>
    <row r="79" spans="1:24" x14ac:dyDescent="0.3">
      <c r="A79" s="26"/>
      <c r="B79" s="26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f t="shared" si="18"/>
        <v>0</v>
      </c>
      <c r="Q79" s="42"/>
      <c r="R79" s="42"/>
    </row>
    <row r="80" spans="1:24" x14ac:dyDescent="0.3">
      <c r="A80" s="26"/>
      <c r="B80" s="90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f t="shared" si="18"/>
        <v>0</v>
      </c>
      <c r="Q80" s="42"/>
      <c r="R80" s="42"/>
    </row>
    <row r="81" spans="1:18" x14ac:dyDescent="0.3">
      <c r="A81" s="26"/>
      <c r="B81" s="90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>
        <f t="shared" si="18"/>
        <v>0</v>
      </c>
      <c r="Q81" s="42"/>
      <c r="R81" s="42"/>
    </row>
    <row r="82" spans="1:18" x14ac:dyDescent="0.3">
      <c r="A82" s="26"/>
      <c r="B82" s="90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>
        <f t="shared" si="18"/>
        <v>0</v>
      </c>
      <c r="Q82" s="42"/>
      <c r="R82" s="42"/>
    </row>
    <row r="83" spans="1:18" x14ac:dyDescent="0.3">
      <c r="A83" s="26"/>
      <c r="B83" s="90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>
        <f t="shared" si="18"/>
        <v>0</v>
      </c>
      <c r="Q83" s="42"/>
      <c r="R83" s="42"/>
    </row>
    <row r="84" spans="1:18" x14ac:dyDescent="0.3">
      <c r="A84" s="194" t="s">
        <v>66</v>
      </c>
      <c r="B84" s="194"/>
      <c r="C84" s="43"/>
      <c r="D84" s="28">
        <f t="shared" ref="D84:P84" si="19">SUM(D56:D83)</f>
        <v>587</v>
      </c>
      <c r="E84" s="28">
        <f t="shared" si="19"/>
        <v>587</v>
      </c>
      <c r="F84" s="28">
        <f t="shared" si="19"/>
        <v>587</v>
      </c>
      <c r="G84" s="28">
        <f t="shared" si="19"/>
        <v>587</v>
      </c>
      <c r="H84" s="28">
        <f t="shared" si="19"/>
        <v>587</v>
      </c>
      <c r="I84" s="28">
        <f t="shared" si="19"/>
        <v>587</v>
      </c>
      <c r="J84" s="28">
        <f t="shared" si="19"/>
        <v>587</v>
      </c>
      <c r="K84" s="28">
        <f t="shared" si="19"/>
        <v>587</v>
      </c>
      <c r="L84" s="28">
        <f t="shared" si="19"/>
        <v>587</v>
      </c>
      <c r="M84" s="28">
        <f t="shared" si="19"/>
        <v>587</v>
      </c>
      <c r="N84" s="28">
        <f t="shared" si="19"/>
        <v>587</v>
      </c>
      <c r="O84" s="28">
        <f t="shared" si="19"/>
        <v>587</v>
      </c>
      <c r="P84" s="28">
        <f t="shared" si="19"/>
        <v>7044</v>
      </c>
      <c r="Q84" s="8">
        <f>SUM(P55:P83)-P84</f>
        <v>0</v>
      </c>
      <c r="R84" s="42"/>
    </row>
    <row r="85" spans="1:18" x14ac:dyDescent="0.3">
      <c r="A85" s="194" t="s">
        <v>67</v>
      </c>
      <c r="B85" s="194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2"/>
      <c r="R85" s="42"/>
    </row>
    <row r="86" spans="1:18" x14ac:dyDescent="0.3">
      <c r="A86" s="26"/>
      <c r="B86" s="90" t="s">
        <v>68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>
        <f t="shared" ref="P86:P104" si="20">SUM(D86:O86)</f>
        <v>0</v>
      </c>
      <c r="Q86" s="42"/>
      <c r="R86" s="42"/>
    </row>
    <row r="87" spans="1:18" x14ac:dyDescent="0.3">
      <c r="A87" s="26"/>
      <c r="B87" s="90" t="s">
        <v>69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>
        <f t="shared" si="20"/>
        <v>0</v>
      </c>
      <c r="Q87" s="42"/>
      <c r="R87" s="42"/>
    </row>
    <row r="88" spans="1:18" x14ac:dyDescent="0.3">
      <c r="A88" s="26"/>
      <c r="B88" s="90" t="s">
        <v>70</v>
      </c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>
        <f t="shared" si="20"/>
        <v>0</v>
      </c>
      <c r="Q88" s="42"/>
      <c r="R88" s="42"/>
    </row>
    <row r="89" spans="1:18" x14ac:dyDescent="0.3">
      <c r="A89" s="26"/>
      <c r="B89" s="90" t="s">
        <v>71</v>
      </c>
      <c r="C89" s="43"/>
      <c r="D89" s="43">
        <f>2800/12</f>
        <v>233.33333333333334</v>
      </c>
      <c r="E89" s="43">
        <f t="shared" ref="E89:O89" si="21">2800/12</f>
        <v>233.33333333333334</v>
      </c>
      <c r="F89" s="43">
        <f t="shared" si="21"/>
        <v>233.33333333333334</v>
      </c>
      <c r="G89" s="43">
        <f t="shared" si="21"/>
        <v>233.33333333333334</v>
      </c>
      <c r="H89" s="43">
        <f t="shared" si="21"/>
        <v>233.33333333333334</v>
      </c>
      <c r="I89" s="43">
        <f t="shared" si="21"/>
        <v>233.33333333333334</v>
      </c>
      <c r="J89" s="43">
        <f t="shared" si="21"/>
        <v>233.33333333333334</v>
      </c>
      <c r="K89" s="43">
        <f t="shared" si="21"/>
        <v>233.33333333333334</v>
      </c>
      <c r="L89" s="43">
        <f t="shared" si="21"/>
        <v>233.33333333333334</v>
      </c>
      <c r="M89" s="43">
        <f t="shared" si="21"/>
        <v>233.33333333333334</v>
      </c>
      <c r="N89" s="43">
        <f t="shared" si="21"/>
        <v>233.33333333333334</v>
      </c>
      <c r="O89" s="43">
        <f t="shared" si="21"/>
        <v>233.33333333333334</v>
      </c>
      <c r="P89" s="43">
        <f t="shared" si="20"/>
        <v>2800.0000000000005</v>
      </c>
      <c r="Q89" s="42"/>
      <c r="R89" s="42"/>
    </row>
    <row r="90" spans="1:18" x14ac:dyDescent="0.3">
      <c r="A90" s="26"/>
      <c r="B90" s="90" t="s">
        <v>72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>
        <f t="shared" si="20"/>
        <v>0</v>
      </c>
      <c r="Q90" s="42"/>
      <c r="R90" s="42"/>
    </row>
    <row r="91" spans="1:18" x14ac:dyDescent="0.3">
      <c r="A91" s="26"/>
      <c r="B91" s="90" t="s">
        <v>73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>
        <f t="shared" si="20"/>
        <v>0</v>
      </c>
      <c r="Q91" s="42"/>
      <c r="R91" s="42"/>
    </row>
    <row r="92" spans="1:18" x14ac:dyDescent="0.3">
      <c r="A92" s="26"/>
      <c r="B92" s="90" t="s">
        <v>74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>
        <f t="shared" si="20"/>
        <v>0</v>
      </c>
      <c r="Q92" s="42"/>
      <c r="R92" s="42"/>
    </row>
    <row r="93" spans="1:18" x14ac:dyDescent="0.3">
      <c r="A93" s="26"/>
      <c r="B93" s="90" t="s">
        <v>75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>
        <f t="shared" si="20"/>
        <v>0</v>
      </c>
      <c r="Q93" s="42"/>
      <c r="R93" s="42"/>
    </row>
    <row r="94" spans="1:18" x14ac:dyDescent="0.3">
      <c r="A94" s="26"/>
      <c r="B94" s="90" t="s">
        <v>76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>
        <f t="shared" si="20"/>
        <v>0</v>
      </c>
      <c r="Q94" s="42"/>
      <c r="R94" s="42"/>
    </row>
    <row r="95" spans="1:18" x14ac:dyDescent="0.3">
      <c r="A95" s="26"/>
      <c r="B95" s="90" t="s">
        <v>77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>
        <f t="shared" si="20"/>
        <v>0</v>
      </c>
      <c r="Q95" s="42"/>
      <c r="R95" s="42"/>
    </row>
    <row r="96" spans="1:18" x14ac:dyDescent="0.3">
      <c r="A96" s="26"/>
      <c r="B96" s="90" t="s">
        <v>78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>
        <f t="shared" si="20"/>
        <v>0</v>
      </c>
      <c r="Q96" s="42"/>
      <c r="R96" s="42"/>
    </row>
    <row r="97" spans="1:18" x14ac:dyDescent="0.3">
      <c r="A97" s="26"/>
      <c r="B97" s="90" t="s">
        <v>79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>
        <f t="shared" si="20"/>
        <v>0</v>
      </c>
      <c r="Q97" s="42"/>
      <c r="R97" s="42"/>
    </row>
    <row r="98" spans="1:18" x14ac:dyDescent="0.3">
      <c r="A98" s="26"/>
      <c r="B98" s="90" t="s">
        <v>80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>
        <f t="shared" si="20"/>
        <v>0</v>
      </c>
      <c r="Q98" s="42"/>
      <c r="R98" s="42"/>
    </row>
    <row r="99" spans="1:18" x14ac:dyDescent="0.3">
      <c r="A99" s="26"/>
      <c r="B99" s="90" t="s">
        <v>81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>
        <f t="shared" si="20"/>
        <v>0</v>
      </c>
      <c r="Q99" s="42"/>
      <c r="R99" s="42"/>
    </row>
    <row r="100" spans="1:18" x14ac:dyDescent="0.3">
      <c r="A100" s="26"/>
      <c r="B100" s="90" t="s">
        <v>82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>
        <f t="shared" si="20"/>
        <v>0</v>
      </c>
      <c r="Q100" s="42"/>
      <c r="R100" s="42"/>
    </row>
    <row r="101" spans="1:18" x14ac:dyDescent="0.3">
      <c r="A101" s="26"/>
      <c r="B101" s="90" t="s">
        <v>83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>
        <f t="shared" si="20"/>
        <v>0</v>
      </c>
      <c r="Q101" s="42"/>
      <c r="R101" s="42"/>
    </row>
    <row r="102" spans="1:18" x14ac:dyDescent="0.3">
      <c r="A102" s="26"/>
      <c r="B102" s="26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>
        <f t="shared" si="20"/>
        <v>0</v>
      </c>
      <c r="Q102" s="42"/>
      <c r="R102" s="42"/>
    </row>
    <row r="103" spans="1:18" x14ac:dyDescent="0.3">
      <c r="A103" s="26"/>
      <c r="B103" s="90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>
        <f t="shared" si="20"/>
        <v>0</v>
      </c>
      <c r="Q103" s="42"/>
      <c r="R103" s="42"/>
    </row>
    <row r="104" spans="1:18" x14ac:dyDescent="0.3">
      <c r="A104" s="26"/>
      <c r="B104" s="90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>
        <f t="shared" si="20"/>
        <v>0</v>
      </c>
      <c r="Q104" s="42"/>
      <c r="R104" s="42"/>
    </row>
    <row r="105" spans="1:18" x14ac:dyDescent="0.3">
      <c r="A105" s="194" t="s">
        <v>84</v>
      </c>
      <c r="B105" s="194"/>
      <c r="C105" s="43"/>
      <c r="D105" s="30">
        <f t="shared" ref="D105:P105" si="22">SUM(D86:D104)</f>
        <v>233.33333333333334</v>
      </c>
      <c r="E105" s="30">
        <f t="shared" si="22"/>
        <v>233.33333333333334</v>
      </c>
      <c r="F105" s="30">
        <f t="shared" si="22"/>
        <v>233.33333333333334</v>
      </c>
      <c r="G105" s="30">
        <f t="shared" si="22"/>
        <v>233.33333333333334</v>
      </c>
      <c r="H105" s="30">
        <f t="shared" si="22"/>
        <v>233.33333333333334</v>
      </c>
      <c r="I105" s="30">
        <f t="shared" si="22"/>
        <v>233.33333333333334</v>
      </c>
      <c r="J105" s="30">
        <f t="shared" si="22"/>
        <v>233.33333333333334</v>
      </c>
      <c r="K105" s="30">
        <f t="shared" si="22"/>
        <v>233.33333333333334</v>
      </c>
      <c r="L105" s="30">
        <f t="shared" si="22"/>
        <v>233.33333333333334</v>
      </c>
      <c r="M105" s="30">
        <f t="shared" si="22"/>
        <v>233.33333333333334</v>
      </c>
      <c r="N105" s="30">
        <f t="shared" si="22"/>
        <v>233.33333333333334</v>
      </c>
      <c r="O105" s="30">
        <f t="shared" si="22"/>
        <v>233.33333333333334</v>
      </c>
      <c r="P105" s="30">
        <f t="shared" si="22"/>
        <v>2800.0000000000005</v>
      </c>
      <c r="Q105" s="8">
        <f>SUM(P86:P104)-P105</f>
        <v>0</v>
      </c>
      <c r="R105" s="42"/>
    </row>
    <row r="106" spans="1:18" x14ac:dyDescent="0.3">
      <c r="A106" s="26"/>
      <c r="B106" s="90" t="s">
        <v>85</v>
      </c>
      <c r="C106" s="43"/>
      <c r="D106" s="30">
        <f t="shared" ref="D106:P106" si="23">D105+D84+D53+D43</f>
        <v>27549.135612093334</v>
      </c>
      <c r="E106" s="30">
        <f t="shared" si="23"/>
        <v>27549.156607242934</v>
      </c>
      <c r="F106" s="30">
        <f t="shared" si="23"/>
        <v>40638.068244197733</v>
      </c>
      <c r="G106" s="30">
        <f t="shared" si="23"/>
        <v>27549.156607242934</v>
      </c>
      <c r="H106" s="30">
        <f t="shared" si="23"/>
        <v>27549.156607242934</v>
      </c>
      <c r="I106" s="30">
        <f t="shared" si="23"/>
        <v>27549.156607242934</v>
      </c>
      <c r="J106" s="30">
        <f t="shared" si="23"/>
        <v>27549.156607242934</v>
      </c>
      <c r="K106" s="30">
        <f t="shared" si="23"/>
        <v>40638.068244197733</v>
      </c>
      <c r="L106" s="30">
        <f t="shared" si="23"/>
        <v>27549.156607242934</v>
      </c>
      <c r="M106" s="30">
        <f t="shared" si="23"/>
        <v>27549.156607242934</v>
      </c>
      <c r="N106" s="30">
        <f t="shared" si="23"/>
        <v>27549.156607242934</v>
      </c>
      <c r="O106" s="30">
        <f t="shared" si="23"/>
        <v>27549.156607242934</v>
      </c>
      <c r="P106" s="30">
        <f t="shared" si="23"/>
        <v>356767.68156567524</v>
      </c>
      <c r="Q106" s="42"/>
      <c r="R106" s="42"/>
    </row>
    <row r="107" spans="1:18" x14ac:dyDescent="0.3">
      <c r="A107" s="26"/>
      <c r="B107" s="90" t="s">
        <v>86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2"/>
      <c r="R107" s="42"/>
    </row>
    <row r="108" spans="1:18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2"/>
      <c r="R108" s="42"/>
    </row>
    <row r="109" spans="1:18" ht="15" thickBot="1" x14ac:dyDescent="0.35">
      <c r="A109" s="43"/>
      <c r="B109" s="43" t="s">
        <v>112</v>
      </c>
      <c r="C109" s="43"/>
      <c r="D109" s="31">
        <f t="shared" ref="D109:P109" si="24">D32-D106-D107</f>
        <v>-5828.7356120933327</v>
      </c>
      <c r="E109" s="31">
        <f t="shared" si="24"/>
        <v>-10645.956607242937</v>
      </c>
      <c r="F109" s="31">
        <f t="shared" si="24"/>
        <v>-14041.058244197731</v>
      </c>
      <c r="G109" s="31">
        <f t="shared" si="24"/>
        <v>-10011.156607242934</v>
      </c>
      <c r="H109" s="31">
        <f t="shared" si="24"/>
        <v>-9693.7566072429327</v>
      </c>
      <c r="I109" s="31">
        <f t="shared" si="24"/>
        <v>-10011.156607242934</v>
      </c>
      <c r="J109" s="31">
        <f t="shared" si="24"/>
        <v>-1751.7566072429327</v>
      </c>
      <c r="K109" s="31">
        <f t="shared" si="24"/>
        <v>-18615.668244197732</v>
      </c>
      <c r="L109" s="31">
        <f t="shared" si="24"/>
        <v>-5844.1566072429341</v>
      </c>
      <c r="M109" s="31">
        <f t="shared" si="24"/>
        <v>-5526.7566072429327</v>
      </c>
      <c r="N109" s="31">
        <f t="shared" si="24"/>
        <v>-5844.1566072429341</v>
      </c>
      <c r="O109" s="31">
        <f t="shared" si="24"/>
        <v>101.16339275706559</v>
      </c>
      <c r="P109" s="31">
        <f t="shared" si="24"/>
        <v>-97713.151565675245</v>
      </c>
      <c r="Q109" s="42"/>
      <c r="R109" s="42"/>
    </row>
    <row r="110" spans="1:18" ht="15" thickTop="1" x14ac:dyDescent="0.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</row>
    <row r="111" spans="1:18" x14ac:dyDescent="0.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</row>
  </sheetData>
  <mergeCells count="16">
    <mergeCell ref="A26:B26"/>
    <mergeCell ref="A34:B34"/>
    <mergeCell ref="A43:B43"/>
    <mergeCell ref="A53:B53"/>
    <mergeCell ref="A84:B84"/>
    <mergeCell ref="A85:B85"/>
    <mergeCell ref="A27:B27"/>
    <mergeCell ref="A44:B44"/>
    <mergeCell ref="A54:B54"/>
    <mergeCell ref="A105:B105"/>
    <mergeCell ref="A4:B4"/>
    <mergeCell ref="A5:B5"/>
    <mergeCell ref="A12:B12"/>
    <mergeCell ref="A13:B13"/>
    <mergeCell ref="A19:B19"/>
    <mergeCell ref="A18:B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11"/>
  <sheetViews>
    <sheetView topLeftCell="A34" workbookViewId="0">
      <selection activeCell="D38" sqref="D38:O38"/>
    </sheetView>
  </sheetViews>
  <sheetFormatPr defaultRowHeight="14.4" x14ac:dyDescent="0.3"/>
  <sheetData>
    <row r="1" spans="1:18" x14ac:dyDescent="0.3">
      <c r="A1" s="43"/>
      <c r="B1" s="43"/>
      <c r="C1" s="42" t="s">
        <v>192</v>
      </c>
      <c r="D1" s="43">
        <v>30</v>
      </c>
      <c r="E1" s="43">
        <v>30</v>
      </c>
      <c r="F1" s="43">
        <v>30</v>
      </c>
      <c r="G1" s="43">
        <v>30</v>
      </c>
      <c r="H1" s="43">
        <v>30</v>
      </c>
      <c r="I1" s="43">
        <v>30</v>
      </c>
      <c r="J1" s="43">
        <v>30</v>
      </c>
      <c r="K1" s="43">
        <v>30</v>
      </c>
      <c r="L1" s="43">
        <v>30</v>
      </c>
      <c r="M1" s="43">
        <v>30</v>
      </c>
      <c r="N1" s="43">
        <v>30</v>
      </c>
      <c r="O1" s="43">
        <v>30</v>
      </c>
      <c r="P1" s="43"/>
      <c r="Q1" s="42"/>
      <c r="R1" s="42"/>
    </row>
    <row r="2" spans="1:18" x14ac:dyDescent="0.3">
      <c r="A2" s="43"/>
      <c r="B2" s="43"/>
      <c r="C2" s="43" t="s">
        <v>191</v>
      </c>
      <c r="D2" s="43">
        <v>34</v>
      </c>
      <c r="E2" s="43">
        <v>34</v>
      </c>
      <c r="F2" s="43">
        <v>34</v>
      </c>
      <c r="G2" s="43">
        <v>34</v>
      </c>
      <c r="H2" s="43">
        <v>34</v>
      </c>
      <c r="I2" s="43">
        <v>34</v>
      </c>
      <c r="J2" s="43">
        <v>34</v>
      </c>
      <c r="K2" s="43">
        <v>34</v>
      </c>
      <c r="L2" s="43">
        <v>34</v>
      </c>
      <c r="M2" s="43">
        <v>34</v>
      </c>
      <c r="N2" s="43">
        <v>34</v>
      </c>
      <c r="O2" s="43">
        <v>34</v>
      </c>
      <c r="P2" s="43"/>
      <c r="Q2" s="42"/>
      <c r="R2" s="42"/>
    </row>
    <row r="3" spans="1:18" x14ac:dyDescent="0.3">
      <c r="A3" s="43"/>
      <c r="B3" s="43"/>
      <c r="C3" s="43"/>
      <c r="D3" s="54" t="s">
        <v>100</v>
      </c>
      <c r="E3" s="54" t="s">
        <v>101</v>
      </c>
      <c r="F3" s="54" t="s">
        <v>102</v>
      </c>
      <c r="G3" s="54" t="s">
        <v>103</v>
      </c>
      <c r="H3" s="54" t="s">
        <v>104</v>
      </c>
      <c r="I3" s="54" t="s">
        <v>105</v>
      </c>
      <c r="J3" s="54" t="s">
        <v>106</v>
      </c>
      <c r="K3" s="54" t="s">
        <v>107</v>
      </c>
      <c r="L3" s="54" t="s">
        <v>108</v>
      </c>
      <c r="M3" s="54" t="s">
        <v>109</v>
      </c>
      <c r="N3" s="54" t="s">
        <v>110</v>
      </c>
      <c r="O3" s="54" t="s">
        <v>111</v>
      </c>
      <c r="P3" s="9" t="s">
        <v>113</v>
      </c>
      <c r="Q3" s="42"/>
      <c r="R3" s="42"/>
    </row>
    <row r="4" spans="1:18" x14ac:dyDescent="0.3">
      <c r="A4" s="194" t="s">
        <v>99</v>
      </c>
      <c r="B4" s="19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2"/>
      <c r="R4" s="42"/>
    </row>
    <row r="5" spans="1:18" x14ac:dyDescent="0.3">
      <c r="A5" s="194" t="s">
        <v>1</v>
      </c>
      <c r="B5" s="194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2"/>
      <c r="R5" s="42"/>
    </row>
    <row r="6" spans="1:18" x14ac:dyDescent="0.3">
      <c r="A6" s="26"/>
      <c r="B6" s="94" t="s">
        <v>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>
        <f t="shared" ref="P6:P11" si="0">SUM(D6:O6)</f>
        <v>0</v>
      </c>
      <c r="Q6" s="42"/>
      <c r="R6" s="42"/>
    </row>
    <row r="7" spans="1:18" x14ac:dyDescent="0.3">
      <c r="A7" s="26"/>
      <c r="B7" s="94" t="s">
        <v>204</v>
      </c>
      <c r="C7" s="43"/>
      <c r="D7" s="43">
        <f>D1*15.87*31</f>
        <v>14759.099999999999</v>
      </c>
      <c r="E7" s="43">
        <f>E1*15.87*28</f>
        <v>13330.8</v>
      </c>
      <c r="F7" s="43">
        <f>F1*15.87*31</f>
        <v>14759.099999999999</v>
      </c>
      <c r="G7" s="43">
        <f>G1*15.87*30</f>
        <v>14282.999999999998</v>
      </c>
      <c r="H7" s="43">
        <f>H1*15.87*31</f>
        <v>14759.099999999999</v>
      </c>
      <c r="I7" s="43">
        <f>I1*15.87*30</f>
        <v>14282.999999999998</v>
      </c>
      <c r="J7" s="43">
        <f t="shared" ref="J7:O7" si="1">J1*15.87*31</f>
        <v>14759.099999999999</v>
      </c>
      <c r="K7" s="43">
        <f t="shared" si="1"/>
        <v>14759.099999999999</v>
      </c>
      <c r="L7" s="43">
        <f>L1*15.87*30</f>
        <v>14282.999999999998</v>
      </c>
      <c r="M7" s="43">
        <f t="shared" si="1"/>
        <v>14759.099999999999</v>
      </c>
      <c r="N7" s="43">
        <f>N1*15.87*30</f>
        <v>14282.999999999998</v>
      </c>
      <c r="O7" s="43">
        <f t="shared" si="1"/>
        <v>14759.099999999999</v>
      </c>
      <c r="P7" s="43">
        <f t="shared" si="0"/>
        <v>173776.50000000003</v>
      </c>
      <c r="Q7" s="42"/>
      <c r="R7" s="42"/>
    </row>
    <row r="8" spans="1:18" s="42" customFormat="1" x14ac:dyDescent="0.3">
      <c r="A8" s="26"/>
      <c r="B8" s="94" t="s">
        <v>205</v>
      </c>
      <c r="C8" s="43"/>
      <c r="D8" s="43">
        <f>D2*48</f>
        <v>1632</v>
      </c>
      <c r="E8" s="43">
        <f t="shared" ref="E8:O8" si="2">E2*48</f>
        <v>1632</v>
      </c>
      <c r="F8" s="43">
        <f t="shared" si="2"/>
        <v>1632</v>
      </c>
      <c r="G8" s="43">
        <f t="shared" si="2"/>
        <v>1632</v>
      </c>
      <c r="H8" s="43">
        <f t="shared" si="2"/>
        <v>1632</v>
      </c>
      <c r="I8" s="43">
        <f t="shared" si="2"/>
        <v>1632</v>
      </c>
      <c r="J8" s="43">
        <f t="shared" si="2"/>
        <v>1632</v>
      </c>
      <c r="K8" s="43">
        <f t="shared" si="2"/>
        <v>1632</v>
      </c>
      <c r="L8" s="43">
        <f t="shared" si="2"/>
        <v>1632</v>
      </c>
      <c r="M8" s="43">
        <f t="shared" si="2"/>
        <v>1632</v>
      </c>
      <c r="N8" s="43">
        <f t="shared" si="2"/>
        <v>1632</v>
      </c>
      <c r="O8" s="43">
        <f t="shared" si="2"/>
        <v>1632</v>
      </c>
      <c r="P8" s="43">
        <f t="shared" si="0"/>
        <v>19584</v>
      </c>
    </row>
    <row r="9" spans="1:18" x14ac:dyDescent="0.3">
      <c r="A9" s="26"/>
      <c r="B9" s="94" t="s">
        <v>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>
        <f t="shared" si="0"/>
        <v>0</v>
      </c>
      <c r="Q9" s="42"/>
      <c r="R9" s="42"/>
    </row>
    <row r="10" spans="1:18" s="42" customFormat="1" x14ac:dyDescent="0.3">
      <c r="A10" s="26"/>
      <c r="B10" s="94" t="s">
        <v>206</v>
      </c>
      <c r="C10" s="43"/>
      <c r="D10" s="43"/>
      <c r="E10" s="43"/>
      <c r="F10" s="43">
        <f>10000*1.03</f>
        <v>10300</v>
      </c>
      <c r="G10" s="43"/>
      <c r="H10" s="43"/>
      <c r="I10" s="43"/>
      <c r="J10" s="43"/>
      <c r="K10" s="43"/>
      <c r="L10" s="43"/>
      <c r="M10" s="43"/>
      <c r="N10" s="43"/>
      <c r="O10" s="43"/>
      <c r="P10" s="43">
        <f t="shared" si="0"/>
        <v>10300</v>
      </c>
    </row>
    <row r="11" spans="1:18" x14ac:dyDescent="0.3">
      <c r="A11" s="26"/>
      <c r="B11" s="94" t="s">
        <v>207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>
        <f t="shared" si="0"/>
        <v>0</v>
      </c>
      <c r="Q11" s="42"/>
      <c r="R11" s="42"/>
    </row>
    <row r="12" spans="1:18" x14ac:dyDescent="0.3">
      <c r="A12" s="194" t="s">
        <v>6</v>
      </c>
      <c r="B12" s="194"/>
      <c r="C12" s="43"/>
      <c r="D12" s="28">
        <f t="shared" ref="D12:P12" si="3">SUM(D6:D11)</f>
        <v>16391.099999999999</v>
      </c>
      <c r="E12" s="28">
        <f t="shared" si="3"/>
        <v>14962.8</v>
      </c>
      <c r="F12" s="28">
        <f t="shared" si="3"/>
        <v>26691.1</v>
      </c>
      <c r="G12" s="28">
        <f t="shared" si="3"/>
        <v>15914.999999999998</v>
      </c>
      <c r="H12" s="28">
        <f t="shared" si="3"/>
        <v>16391.099999999999</v>
      </c>
      <c r="I12" s="28">
        <f t="shared" si="3"/>
        <v>15914.999999999998</v>
      </c>
      <c r="J12" s="28">
        <f t="shared" si="3"/>
        <v>16391.099999999999</v>
      </c>
      <c r="K12" s="28">
        <f t="shared" si="3"/>
        <v>16391.099999999999</v>
      </c>
      <c r="L12" s="28">
        <f t="shared" si="3"/>
        <v>15914.999999999998</v>
      </c>
      <c r="M12" s="28">
        <f t="shared" si="3"/>
        <v>16391.099999999999</v>
      </c>
      <c r="N12" s="28">
        <f t="shared" si="3"/>
        <v>15914.999999999998</v>
      </c>
      <c r="O12" s="28">
        <f t="shared" si="3"/>
        <v>16391.099999999999</v>
      </c>
      <c r="P12" s="28">
        <f t="shared" si="3"/>
        <v>203660.50000000003</v>
      </c>
      <c r="Q12" s="8">
        <f>P12-P6-P7-P9-P11</f>
        <v>29884</v>
      </c>
      <c r="R12" s="42"/>
    </row>
    <row r="13" spans="1:18" x14ac:dyDescent="0.3">
      <c r="A13" s="194" t="s">
        <v>7</v>
      </c>
      <c r="B13" s="19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2"/>
      <c r="R13" s="42"/>
    </row>
    <row r="14" spans="1:18" x14ac:dyDescent="0.3">
      <c r="A14" s="26"/>
      <c r="B14" s="97" t="s">
        <v>8</v>
      </c>
      <c r="C14" s="43"/>
      <c r="D14" s="43">
        <f>(5816*1.5)+150-187</f>
        <v>8687</v>
      </c>
      <c r="E14" s="43">
        <f>5816+150-187</f>
        <v>5779</v>
      </c>
      <c r="F14" s="43">
        <f t="shared" ref="F14:I14" si="4">5816+150-187</f>
        <v>5779</v>
      </c>
      <c r="G14" s="43">
        <f t="shared" si="4"/>
        <v>5779</v>
      </c>
      <c r="H14" s="43">
        <f t="shared" si="4"/>
        <v>5779</v>
      </c>
      <c r="I14" s="43">
        <f t="shared" si="4"/>
        <v>5779</v>
      </c>
      <c r="J14" s="43">
        <f>(5816*1.5)+150-187</f>
        <v>8687</v>
      </c>
      <c r="K14" s="43">
        <f>5816+150-187</f>
        <v>5779</v>
      </c>
      <c r="L14" s="43">
        <f t="shared" ref="L14:O14" si="5">5816+150-187</f>
        <v>5779</v>
      </c>
      <c r="M14" s="43">
        <f t="shared" si="5"/>
        <v>5779</v>
      </c>
      <c r="N14" s="43">
        <f t="shared" si="5"/>
        <v>5779</v>
      </c>
      <c r="O14" s="43">
        <f t="shared" si="5"/>
        <v>5779</v>
      </c>
      <c r="P14" s="43">
        <f>SUM(D14:O14)</f>
        <v>75164</v>
      </c>
      <c r="Q14" s="42"/>
      <c r="R14" s="42"/>
    </row>
    <row r="15" spans="1:18" x14ac:dyDescent="0.3">
      <c r="A15" s="26"/>
      <c r="B15" s="97" t="s">
        <v>9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>
        <f>SUM(D15:O15)</f>
        <v>0</v>
      </c>
      <c r="Q15" s="42"/>
      <c r="R15" s="42"/>
    </row>
    <row r="16" spans="1:18" x14ac:dyDescent="0.3">
      <c r="A16" s="26"/>
      <c r="B16" s="97" t="s">
        <v>219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f>SUM(D16:O16)</f>
        <v>0</v>
      </c>
      <c r="Q16" s="42"/>
      <c r="R16" s="42"/>
    </row>
    <row r="17" spans="1:18" x14ac:dyDescent="0.3">
      <c r="A17" s="26"/>
      <c r="B17" s="66" t="s">
        <v>16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>
        <f>SUM(D17:O17)</f>
        <v>0</v>
      </c>
      <c r="Q17" s="42"/>
      <c r="R17" s="42"/>
    </row>
    <row r="18" spans="1:18" x14ac:dyDescent="0.3">
      <c r="A18" s="194" t="s">
        <v>10</v>
      </c>
      <c r="B18" s="194"/>
      <c r="C18" s="43"/>
      <c r="D18" s="28">
        <f t="shared" ref="D18:P18" si="6">SUM(D14:D17)</f>
        <v>8687</v>
      </c>
      <c r="E18" s="28">
        <f t="shared" si="6"/>
        <v>5779</v>
      </c>
      <c r="F18" s="28">
        <f t="shared" si="6"/>
        <v>5779</v>
      </c>
      <c r="G18" s="28">
        <f t="shared" si="6"/>
        <v>5779</v>
      </c>
      <c r="H18" s="28">
        <f t="shared" si="6"/>
        <v>5779</v>
      </c>
      <c r="I18" s="28">
        <f t="shared" si="6"/>
        <v>5779</v>
      </c>
      <c r="J18" s="28">
        <f t="shared" si="6"/>
        <v>8687</v>
      </c>
      <c r="K18" s="28">
        <f t="shared" si="6"/>
        <v>5779</v>
      </c>
      <c r="L18" s="28">
        <f t="shared" si="6"/>
        <v>5779</v>
      </c>
      <c r="M18" s="28">
        <f t="shared" si="6"/>
        <v>5779</v>
      </c>
      <c r="N18" s="28">
        <f t="shared" si="6"/>
        <v>5779</v>
      </c>
      <c r="O18" s="28">
        <f t="shared" si="6"/>
        <v>5779</v>
      </c>
      <c r="P18" s="28">
        <f t="shared" si="6"/>
        <v>75164</v>
      </c>
      <c r="Q18" s="8">
        <f>P18-P14-P15-P16-P17</f>
        <v>0</v>
      </c>
      <c r="R18" s="42"/>
    </row>
    <row r="19" spans="1:18" x14ac:dyDescent="0.3">
      <c r="A19" s="194" t="s">
        <v>11</v>
      </c>
      <c r="B19" s="19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2"/>
      <c r="R19" s="42"/>
    </row>
    <row r="20" spans="1:18" x14ac:dyDescent="0.3">
      <c r="A20" s="26"/>
      <c r="B20" s="90" t="s">
        <v>12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>
        <f t="shared" ref="P20:P25" si="7">SUM(D20:O20)</f>
        <v>0</v>
      </c>
      <c r="Q20" s="42"/>
      <c r="R20" s="42"/>
    </row>
    <row r="21" spans="1:18" x14ac:dyDescent="0.3">
      <c r="A21" s="26"/>
      <c r="B21" s="90" t="s">
        <v>96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>
        <f t="shared" si="7"/>
        <v>0</v>
      </c>
      <c r="Q21" s="42"/>
      <c r="R21" s="42"/>
    </row>
    <row r="22" spans="1:18" x14ac:dyDescent="0.3">
      <c r="A22" s="26"/>
      <c r="B22" s="90" t="s">
        <v>97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>
        <f t="shared" si="7"/>
        <v>0</v>
      </c>
      <c r="Q22" s="42"/>
      <c r="R22" s="42"/>
    </row>
    <row r="23" spans="1:18" x14ac:dyDescent="0.3">
      <c r="A23" s="26"/>
      <c r="B23" s="90" t="s">
        <v>13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>
        <f t="shared" si="7"/>
        <v>0</v>
      </c>
      <c r="Q23" s="42"/>
      <c r="R23" s="42"/>
    </row>
    <row r="24" spans="1:18" x14ac:dyDescent="0.3">
      <c r="A24" s="26"/>
      <c r="B24" s="90" t="s">
        <v>14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>
        <f t="shared" si="7"/>
        <v>0</v>
      </c>
      <c r="Q24" s="42"/>
      <c r="R24" s="42"/>
    </row>
    <row r="25" spans="1:18" x14ac:dyDescent="0.3">
      <c r="A25" s="26"/>
      <c r="B25" s="26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>
        <f t="shared" si="7"/>
        <v>0</v>
      </c>
      <c r="Q25" s="42"/>
      <c r="R25" s="42"/>
    </row>
    <row r="26" spans="1:18" x14ac:dyDescent="0.3">
      <c r="A26" s="194" t="s">
        <v>15</v>
      </c>
      <c r="B26" s="194"/>
      <c r="C26" s="43"/>
      <c r="D26" s="28">
        <f t="shared" ref="D26:P26" si="8">SUM(D20:D25)</f>
        <v>0</v>
      </c>
      <c r="E26" s="28">
        <f t="shared" si="8"/>
        <v>0</v>
      </c>
      <c r="F26" s="28">
        <f t="shared" si="8"/>
        <v>0</v>
      </c>
      <c r="G26" s="28">
        <f t="shared" si="8"/>
        <v>0</v>
      </c>
      <c r="H26" s="28">
        <f t="shared" si="8"/>
        <v>0</v>
      </c>
      <c r="I26" s="28">
        <f t="shared" si="8"/>
        <v>0</v>
      </c>
      <c r="J26" s="28">
        <f t="shared" si="8"/>
        <v>0</v>
      </c>
      <c r="K26" s="28">
        <f t="shared" si="8"/>
        <v>0</v>
      </c>
      <c r="L26" s="28">
        <f t="shared" si="8"/>
        <v>0</v>
      </c>
      <c r="M26" s="28">
        <f t="shared" si="8"/>
        <v>0</v>
      </c>
      <c r="N26" s="28">
        <f t="shared" si="8"/>
        <v>0</v>
      </c>
      <c r="O26" s="28">
        <f t="shared" si="8"/>
        <v>0</v>
      </c>
      <c r="P26" s="28">
        <f t="shared" si="8"/>
        <v>0</v>
      </c>
      <c r="Q26" s="8">
        <f>SUM(P20:P25)-P26</f>
        <v>0</v>
      </c>
      <c r="R26" s="42"/>
    </row>
    <row r="27" spans="1:18" x14ac:dyDescent="0.3">
      <c r="A27" s="194" t="s">
        <v>16</v>
      </c>
      <c r="B27" s="194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2"/>
      <c r="R27" s="42"/>
    </row>
    <row r="28" spans="1:18" x14ac:dyDescent="0.3">
      <c r="A28" s="90" t="s">
        <v>17</v>
      </c>
      <c r="B28" s="90" t="s">
        <v>18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>
        <v>5464</v>
      </c>
      <c r="P28" s="43">
        <f>SUM(D28:O28)</f>
        <v>5464</v>
      </c>
      <c r="Q28" s="42"/>
      <c r="R28" s="42"/>
    </row>
    <row r="29" spans="1:18" x14ac:dyDescent="0.3">
      <c r="A29" s="90" t="s">
        <v>17</v>
      </c>
      <c r="B29" s="90" t="s">
        <v>19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>
        <f>SUM(D29:O29)</f>
        <v>0</v>
      </c>
      <c r="Q29" s="42"/>
      <c r="R29" s="42"/>
    </row>
    <row r="30" spans="1:18" x14ac:dyDescent="0.3">
      <c r="A30" s="90" t="s">
        <v>17</v>
      </c>
      <c r="B30" s="90" t="s">
        <v>20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>
        <f>SUM(D30:O30)</f>
        <v>0</v>
      </c>
      <c r="Q30" s="42"/>
      <c r="R30" s="42"/>
    </row>
    <row r="31" spans="1:18" x14ac:dyDescent="0.3">
      <c r="A31" s="90" t="s">
        <v>17</v>
      </c>
      <c r="B31" s="90" t="s">
        <v>21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>
        <f>SUM(D31:O31)</f>
        <v>0</v>
      </c>
      <c r="Q31" s="42"/>
      <c r="R31" s="42"/>
    </row>
    <row r="32" spans="1:18" x14ac:dyDescent="0.3">
      <c r="A32" s="26"/>
      <c r="B32" s="26"/>
      <c r="C32" s="43"/>
      <c r="D32" s="30">
        <f t="shared" ref="D32:P32" si="9">D12+D18+D26+D28+D29+D30+D31</f>
        <v>25078.1</v>
      </c>
      <c r="E32" s="30">
        <f t="shared" si="9"/>
        <v>20741.8</v>
      </c>
      <c r="F32" s="30">
        <f t="shared" si="9"/>
        <v>32470.1</v>
      </c>
      <c r="G32" s="30">
        <f t="shared" si="9"/>
        <v>21694</v>
      </c>
      <c r="H32" s="30">
        <f t="shared" si="9"/>
        <v>22170.1</v>
      </c>
      <c r="I32" s="30">
        <f t="shared" si="9"/>
        <v>21694</v>
      </c>
      <c r="J32" s="30">
        <f t="shared" si="9"/>
        <v>25078.1</v>
      </c>
      <c r="K32" s="30">
        <f t="shared" si="9"/>
        <v>22170.1</v>
      </c>
      <c r="L32" s="30">
        <f t="shared" si="9"/>
        <v>21694</v>
      </c>
      <c r="M32" s="30">
        <f t="shared" si="9"/>
        <v>22170.1</v>
      </c>
      <c r="N32" s="30">
        <f t="shared" si="9"/>
        <v>21694</v>
      </c>
      <c r="O32" s="30">
        <f t="shared" si="9"/>
        <v>27634.1</v>
      </c>
      <c r="P32" s="30">
        <f t="shared" si="9"/>
        <v>284288.5</v>
      </c>
      <c r="Q32" s="8">
        <f>SUM(P28:P31)*P32</f>
        <v>1553352364</v>
      </c>
      <c r="R32" s="42"/>
    </row>
    <row r="33" spans="1:18" x14ac:dyDescent="0.3">
      <c r="A33" s="26"/>
      <c r="B33" s="26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2"/>
      <c r="R33" s="42"/>
    </row>
    <row r="34" spans="1:18" x14ac:dyDescent="0.3">
      <c r="A34" s="194" t="s">
        <v>22</v>
      </c>
      <c r="B34" s="19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2"/>
      <c r="R34" s="42"/>
    </row>
    <row r="35" spans="1:18" x14ac:dyDescent="0.3">
      <c r="A35" s="26"/>
      <c r="B35" s="90" t="s">
        <v>23</v>
      </c>
      <c r="C35" s="43"/>
      <c r="D35" s="43">
        <f>Sheet22!I69</f>
        <v>22739.165999999997</v>
      </c>
      <c r="E35" s="43">
        <f>Sheet22!J69</f>
        <v>22739.165999999997</v>
      </c>
      <c r="F35" s="43">
        <f>Sheet22!K69</f>
        <v>34108.748999999996</v>
      </c>
      <c r="G35" s="43">
        <f>Sheet22!L69</f>
        <v>22739.165999999997</v>
      </c>
      <c r="H35" s="43">
        <f>Sheet22!M69</f>
        <v>22739.165999999997</v>
      </c>
      <c r="I35" s="43">
        <f>Sheet22!N69</f>
        <v>22739.165999999997</v>
      </c>
      <c r="J35" s="43">
        <f>Sheet22!O69</f>
        <v>22739.165999999997</v>
      </c>
      <c r="K35" s="43">
        <f>Sheet22!P69</f>
        <v>34108.748999999996</v>
      </c>
      <c r="L35" s="43">
        <f>Sheet22!Q69</f>
        <v>22739.165999999997</v>
      </c>
      <c r="M35" s="43">
        <f>Sheet22!R69</f>
        <v>22739.165999999997</v>
      </c>
      <c r="N35" s="43">
        <f>Sheet22!S69</f>
        <v>22739.165999999997</v>
      </c>
      <c r="O35" s="43">
        <f>Sheet22!T69</f>
        <v>22739.165999999997</v>
      </c>
      <c r="P35" s="43">
        <f t="shared" ref="P35:P42" si="10">SUM(D35:O35)</f>
        <v>295609.15799999994</v>
      </c>
      <c r="Q35" s="42"/>
      <c r="R35" s="42"/>
    </row>
    <row r="36" spans="1:18" x14ac:dyDescent="0.3">
      <c r="A36" s="26"/>
      <c r="B36" s="90" t="s">
        <v>24</v>
      </c>
      <c r="C36" s="43"/>
      <c r="D36" s="43">
        <f>D35*0.0735</f>
        <v>1671.3287009999997</v>
      </c>
      <c r="E36" s="43">
        <f t="shared" ref="E36:O36" si="11">E35*0.0735</f>
        <v>1671.3287009999997</v>
      </c>
      <c r="F36" s="43">
        <f t="shared" si="11"/>
        <v>2506.9930514999996</v>
      </c>
      <c r="G36" s="43">
        <f t="shared" si="11"/>
        <v>1671.3287009999997</v>
      </c>
      <c r="H36" s="43">
        <f t="shared" si="11"/>
        <v>1671.3287009999997</v>
      </c>
      <c r="I36" s="43">
        <f t="shared" si="11"/>
        <v>1671.3287009999997</v>
      </c>
      <c r="J36" s="43">
        <f t="shared" si="11"/>
        <v>1671.3287009999997</v>
      </c>
      <c r="K36" s="43">
        <f t="shared" si="11"/>
        <v>2506.9930514999996</v>
      </c>
      <c r="L36" s="43">
        <f t="shared" si="11"/>
        <v>1671.3287009999997</v>
      </c>
      <c r="M36" s="43">
        <f t="shared" si="11"/>
        <v>1671.3287009999997</v>
      </c>
      <c r="N36" s="43">
        <f t="shared" si="11"/>
        <v>1671.3287009999997</v>
      </c>
      <c r="O36" s="43">
        <f t="shared" si="11"/>
        <v>1671.3287009999997</v>
      </c>
      <c r="P36" s="43">
        <f t="shared" si="10"/>
        <v>21727.273112999992</v>
      </c>
      <c r="Q36" s="42"/>
      <c r="R36" s="42"/>
    </row>
    <row r="37" spans="1:18" x14ac:dyDescent="0.3">
      <c r="A37" s="26"/>
      <c r="B37" s="90" t="s">
        <v>25</v>
      </c>
      <c r="C37" s="43"/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f t="shared" si="10"/>
        <v>0</v>
      </c>
      <c r="Q37" s="42"/>
      <c r="R37" s="42"/>
    </row>
    <row r="38" spans="1:18" x14ac:dyDescent="0.3">
      <c r="A38" s="26"/>
      <c r="B38" s="90" t="s">
        <v>26</v>
      </c>
      <c r="C38" s="43"/>
      <c r="D38" s="43">
        <f>D35*0.12042</f>
        <v>2738.2503697199995</v>
      </c>
      <c r="E38" s="43">
        <f>E35*0.120421</f>
        <v>2738.2731088859996</v>
      </c>
      <c r="F38" s="43">
        <f t="shared" ref="F38:O38" si="12">F35*0.120421</f>
        <v>4107.4096633289992</v>
      </c>
      <c r="G38" s="43">
        <f t="shared" si="12"/>
        <v>2738.2731088859996</v>
      </c>
      <c r="H38" s="43">
        <f t="shared" si="12"/>
        <v>2738.2731088859996</v>
      </c>
      <c r="I38" s="43">
        <f t="shared" si="12"/>
        <v>2738.2731088859996</v>
      </c>
      <c r="J38" s="43">
        <f t="shared" si="12"/>
        <v>2738.2731088859996</v>
      </c>
      <c r="K38" s="43">
        <f t="shared" si="12"/>
        <v>4107.4096633289992</v>
      </c>
      <c r="L38" s="43">
        <f t="shared" si="12"/>
        <v>2738.2731088859996</v>
      </c>
      <c r="M38" s="43">
        <f t="shared" si="12"/>
        <v>2738.2731088859996</v>
      </c>
      <c r="N38" s="43">
        <f t="shared" si="12"/>
        <v>2738.2731088859996</v>
      </c>
      <c r="O38" s="43">
        <f t="shared" si="12"/>
        <v>2738.2731088859996</v>
      </c>
      <c r="P38" s="43">
        <f t="shared" si="10"/>
        <v>35597.527676351994</v>
      </c>
      <c r="Q38" s="42"/>
      <c r="R38" s="42"/>
    </row>
    <row r="39" spans="1:18" x14ac:dyDescent="0.3">
      <c r="A39" s="26"/>
      <c r="B39" s="90" t="s">
        <v>27</v>
      </c>
      <c r="C39" s="43"/>
      <c r="D39" s="43">
        <f>D35*0.0112</f>
        <v>254.67865919999997</v>
      </c>
      <c r="E39" s="43">
        <f t="shared" ref="E39:O39" si="13">E35*0.0112</f>
        <v>254.67865919999997</v>
      </c>
      <c r="F39" s="43">
        <f t="shared" si="13"/>
        <v>382.01798879999996</v>
      </c>
      <c r="G39" s="43">
        <f t="shared" si="13"/>
        <v>254.67865919999997</v>
      </c>
      <c r="H39" s="43">
        <f t="shared" si="13"/>
        <v>254.67865919999997</v>
      </c>
      <c r="I39" s="43">
        <f t="shared" si="13"/>
        <v>254.67865919999997</v>
      </c>
      <c r="J39" s="43">
        <f t="shared" si="13"/>
        <v>254.67865919999997</v>
      </c>
      <c r="K39" s="43">
        <f t="shared" si="13"/>
        <v>382.01798879999996</v>
      </c>
      <c r="L39" s="43">
        <f t="shared" si="13"/>
        <v>254.67865919999997</v>
      </c>
      <c r="M39" s="43">
        <f t="shared" si="13"/>
        <v>254.67865919999997</v>
      </c>
      <c r="N39" s="43">
        <f t="shared" si="13"/>
        <v>254.67865919999997</v>
      </c>
      <c r="O39" s="43">
        <f t="shared" si="13"/>
        <v>254.67865919999997</v>
      </c>
      <c r="P39" s="43">
        <f t="shared" si="10"/>
        <v>3310.8225695999986</v>
      </c>
      <c r="Q39" s="65">
        <f>P39/P35</f>
        <v>1.1199999999999998E-2</v>
      </c>
      <c r="R39" s="42"/>
    </row>
    <row r="40" spans="1:18" x14ac:dyDescent="0.3">
      <c r="A40" s="26"/>
      <c r="B40" s="90" t="s">
        <v>28</v>
      </c>
      <c r="C40" s="43"/>
      <c r="D40" s="43">
        <f>D35*0.028</f>
        <v>636.69664799999998</v>
      </c>
      <c r="E40" s="43">
        <f t="shared" ref="E40:O40" si="14">E35*0.028</f>
        <v>636.69664799999998</v>
      </c>
      <c r="F40" s="43">
        <f t="shared" si="14"/>
        <v>955.04497199999992</v>
      </c>
      <c r="G40" s="43">
        <f t="shared" si="14"/>
        <v>636.69664799999998</v>
      </c>
      <c r="H40" s="43">
        <f t="shared" si="14"/>
        <v>636.69664799999998</v>
      </c>
      <c r="I40" s="43">
        <f t="shared" si="14"/>
        <v>636.69664799999998</v>
      </c>
      <c r="J40" s="43">
        <f t="shared" si="14"/>
        <v>636.69664799999998</v>
      </c>
      <c r="K40" s="43">
        <f t="shared" si="14"/>
        <v>955.04497199999992</v>
      </c>
      <c r="L40" s="43">
        <f t="shared" si="14"/>
        <v>636.69664799999998</v>
      </c>
      <c r="M40" s="43">
        <f t="shared" si="14"/>
        <v>636.69664799999998</v>
      </c>
      <c r="N40" s="43">
        <f t="shared" si="14"/>
        <v>636.69664799999998</v>
      </c>
      <c r="O40" s="43">
        <f t="shared" si="14"/>
        <v>636.69664799999998</v>
      </c>
      <c r="P40" s="43">
        <f t="shared" si="10"/>
        <v>8277.0564240000003</v>
      </c>
      <c r="Q40" s="42"/>
      <c r="R40" s="42"/>
    </row>
    <row r="41" spans="1:18" x14ac:dyDescent="0.3">
      <c r="A41" s="26"/>
      <c r="B41" s="90" t="s">
        <v>29</v>
      </c>
      <c r="C41" s="43"/>
      <c r="D41" s="43">
        <f>D35*0.01373</f>
        <v>312.20874917999993</v>
      </c>
      <c r="E41" s="43">
        <f t="shared" ref="E41:O41" si="15">E35*0.01373</f>
        <v>312.20874917999993</v>
      </c>
      <c r="F41" s="43">
        <f t="shared" si="15"/>
        <v>468.31312376999989</v>
      </c>
      <c r="G41" s="43">
        <f t="shared" si="15"/>
        <v>312.20874917999993</v>
      </c>
      <c r="H41" s="43">
        <f t="shared" si="15"/>
        <v>312.20874917999993</v>
      </c>
      <c r="I41" s="43">
        <f t="shared" si="15"/>
        <v>312.20874917999993</v>
      </c>
      <c r="J41" s="43">
        <f t="shared" si="15"/>
        <v>312.20874917999993</v>
      </c>
      <c r="K41" s="43">
        <f t="shared" si="15"/>
        <v>468.31312376999989</v>
      </c>
      <c r="L41" s="43">
        <f t="shared" si="15"/>
        <v>312.20874917999993</v>
      </c>
      <c r="M41" s="43">
        <f t="shared" si="15"/>
        <v>312.20874917999993</v>
      </c>
      <c r="N41" s="43">
        <f t="shared" si="15"/>
        <v>312.20874917999993</v>
      </c>
      <c r="O41" s="43">
        <f t="shared" si="15"/>
        <v>312.20874917999993</v>
      </c>
      <c r="P41" s="43">
        <f t="shared" si="10"/>
        <v>4058.7137393399985</v>
      </c>
      <c r="Q41" s="42"/>
      <c r="R41" s="42"/>
    </row>
    <row r="42" spans="1:18" x14ac:dyDescent="0.3">
      <c r="A42" s="26"/>
      <c r="B42" s="90" t="s">
        <v>30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>
        <f t="shared" si="10"/>
        <v>0</v>
      </c>
      <c r="Q42" s="42"/>
      <c r="R42" s="42"/>
    </row>
    <row r="43" spans="1:18" x14ac:dyDescent="0.3">
      <c r="A43" s="194" t="s">
        <v>31</v>
      </c>
      <c r="B43" s="194"/>
      <c r="C43" s="43"/>
      <c r="D43" s="28">
        <f t="shared" ref="D43:I43" si="16">SUM(D35:D42)</f>
        <v>28352.329127099998</v>
      </c>
      <c r="E43" s="28">
        <f t="shared" si="16"/>
        <v>28352.351866265995</v>
      </c>
      <c r="F43" s="28">
        <f t="shared" si="16"/>
        <v>42528.527799399002</v>
      </c>
      <c r="G43" s="28">
        <f t="shared" si="16"/>
        <v>28352.351866265995</v>
      </c>
      <c r="H43" s="28">
        <f t="shared" si="16"/>
        <v>28352.351866265995</v>
      </c>
      <c r="I43" s="28">
        <f t="shared" si="16"/>
        <v>28352.351866265995</v>
      </c>
      <c r="J43" s="28">
        <f t="shared" ref="J43:P43" si="17">SUM(J35:J42)</f>
        <v>28352.351866265995</v>
      </c>
      <c r="K43" s="28">
        <f t="shared" si="17"/>
        <v>42528.527799399002</v>
      </c>
      <c r="L43" s="28">
        <f t="shared" si="17"/>
        <v>28352.351866265995</v>
      </c>
      <c r="M43" s="28">
        <f t="shared" si="17"/>
        <v>28352.351866265995</v>
      </c>
      <c r="N43" s="28">
        <f t="shared" si="17"/>
        <v>28352.351866265995</v>
      </c>
      <c r="O43" s="28">
        <f t="shared" si="17"/>
        <v>28352.351866265995</v>
      </c>
      <c r="P43" s="28">
        <f t="shared" si="17"/>
        <v>368580.55152229196</v>
      </c>
      <c r="Q43" s="8">
        <f>SUM(P35:P42)</f>
        <v>368580.55152229196</v>
      </c>
      <c r="R43" s="42"/>
    </row>
    <row r="44" spans="1:18" x14ac:dyDescent="0.3">
      <c r="A44" s="194" t="s">
        <v>32</v>
      </c>
      <c r="B44" s="19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2"/>
      <c r="R44" s="42"/>
    </row>
    <row r="45" spans="1:18" x14ac:dyDescent="0.3">
      <c r="A45" s="26"/>
      <c r="B45" s="90" t="s">
        <v>33</v>
      </c>
      <c r="C45" s="43"/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f>SUM(D45:O45)</f>
        <v>0</v>
      </c>
      <c r="Q45" s="42"/>
      <c r="R45" s="42"/>
    </row>
    <row r="46" spans="1:18" x14ac:dyDescent="0.3">
      <c r="A46" s="26"/>
      <c r="B46" s="90" t="s">
        <v>34</v>
      </c>
      <c r="C46" s="43"/>
      <c r="D46" s="43">
        <v>25</v>
      </c>
      <c r="E46" s="43">
        <v>25</v>
      </c>
      <c r="F46" s="43">
        <v>25</v>
      </c>
      <c r="G46" s="43">
        <v>25</v>
      </c>
      <c r="H46" s="43">
        <v>25</v>
      </c>
      <c r="I46" s="43">
        <v>25</v>
      </c>
      <c r="J46" s="43">
        <v>25</v>
      </c>
      <c r="K46" s="43">
        <v>25</v>
      </c>
      <c r="L46" s="43">
        <v>25</v>
      </c>
      <c r="M46" s="43">
        <v>25</v>
      </c>
      <c r="N46" s="43">
        <v>25</v>
      </c>
      <c r="O46" s="43">
        <v>25</v>
      </c>
      <c r="P46" s="43">
        <f t="shared" ref="P46:P52" si="18">SUM(D46:O46)</f>
        <v>300</v>
      </c>
      <c r="Q46" s="42"/>
      <c r="R46" s="42"/>
    </row>
    <row r="47" spans="1:18" x14ac:dyDescent="0.3">
      <c r="A47" s="26"/>
      <c r="B47" s="90" t="s">
        <v>35</v>
      </c>
      <c r="C47" s="43"/>
      <c r="D47" s="43">
        <v>50</v>
      </c>
      <c r="E47" s="43">
        <v>50</v>
      </c>
      <c r="F47" s="43">
        <v>50</v>
      </c>
      <c r="G47" s="43">
        <v>50</v>
      </c>
      <c r="H47" s="43">
        <v>50</v>
      </c>
      <c r="I47" s="43">
        <v>50</v>
      </c>
      <c r="J47" s="43">
        <v>50</v>
      </c>
      <c r="K47" s="43">
        <v>50</v>
      </c>
      <c r="L47" s="43">
        <v>50</v>
      </c>
      <c r="M47" s="43">
        <v>50</v>
      </c>
      <c r="N47" s="43">
        <v>50</v>
      </c>
      <c r="O47" s="43">
        <v>50</v>
      </c>
      <c r="P47" s="43">
        <f t="shared" si="18"/>
        <v>600</v>
      </c>
      <c r="Q47" s="42"/>
      <c r="R47" s="42"/>
    </row>
    <row r="48" spans="1:18" x14ac:dyDescent="0.3">
      <c r="A48" s="26"/>
      <c r="B48" s="90" t="s">
        <v>36</v>
      </c>
      <c r="C48" s="43"/>
      <c r="D48" s="43">
        <v>50</v>
      </c>
      <c r="E48" s="43">
        <v>50</v>
      </c>
      <c r="F48" s="43">
        <v>50</v>
      </c>
      <c r="G48" s="43">
        <v>50</v>
      </c>
      <c r="H48" s="43">
        <v>50</v>
      </c>
      <c r="I48" s="43">
        <v>50</v>
      </c>
      <c r="J48" s="43">
        <v>50</v>
      </c>
      <c r="K48" s="43">
        <v>50</v>
      </c>
      <c r="L48" s="43">
        <v>50</v>
      </c>
      <c r="M48" s="43">
        <v>50</v>
      </c>
      <c r="N48" s="43">
        <v>50</v>
      </c>
      <c r="O48" s="43">
        <v>50</v>
      </c>
      <c r="P48" s="43">
        <f t="shared" si="18"/>
        <v>600</v>
      </c>
      <c r="Q48" s="42"/>
      <c r="R48" s="42"/>
    </row>
    <row r="49" spans="1:18" x14ac:dyDescent="0.3">
      <c r="A49" s="26"/>
      <c r="B49" s="90" t="s">
        <v>37</v>
      </c>
      <c r="C49" s="43"/>
      <c r="D49" s="43">
        <v>10</v>
      </c>
      <c r="E49" s="43">
        <v>10</v>
      </c>
      <c r="F49" s="43">
        <v>10</v>
      </c>
      <c r="G49" s="43">
        <v>10</v>
      </c>
      <c r="H49" s="43">
        <v>10</v>
      </c>
      <c r="I49" s="43">
        <v>10</v>
      </c>
      <c r="J49" s="43">
        <v>10</v>
      </c>
      <c r="K49" s="43">
        <v>10</v>
      </c>
      <c r="L49" s="43">
        <v>10</v>
      </c>
      <c r="M49" s="43">
        <v>10</v>
      </c>
      <c r="N49" s="43">
        <v>10</v>
      </c>
      <c r="O49" s="43">
        <v>10</v>
      </c>
      <c r="P49" s="43">
        <f t="shared" si="18"/>
        <v>120</v>
      </c>
      <c r="Q49" s="42"/>
      <c r="R49" s="42"/>
    </row>
    <row r="50" spans="1:18" s="42" customFormat="1" x14ac:dyDescent="0.3">
      <c r="A50" s="26"/>
      <c r="B50" s="92" t="s">
        <v>194</v>
      </c>
      <c r="C50" s="43"/>
      <c r="D50" s="43">
        <v>200</v>
      </c>
      <c r="E50" s="43">
        <v>200</v>
      </c>
      <c r="F50" s="43">
        <v>200</v>
      </c>
      <c r="G50" s="43">
        <v>200</v>
      </c>
      <c r="H50" s="43">
        <v>200</v>
      </c>
      <c r="I50" s="43">
        <v>200</v>
      </c>
      <c r="J50" s="43">
        <v>200</v>
      </c>
      <c r="K50" s="43">
        <v>200</v>
      </c>
      <c r="L50" s="43">
        <v>200</v>
      </c>
      <c r="M50" s="43">
        <v>200</v>
      </c>
      <c r="N50" s="43">
        <v>200</v>
      </c>
      <c r="O50" s="43">
        <v>200</v>
      </c>
      <c r="P50" s="43">
        <f t="shared" si="18"/>
        <v>2400</v>
      </c>
    </row>
    <row r="51" spans="1:18" x14ac:dyDescent="0.3">
      <c r="A51" s="26"/>
      <c r="B51" s="90" t="s">
        <v>38</v>
      </c>
      <c r="C51" s="43"/>
      <c r="D51" s="43">
        <v>216</v>
      </c>
      <c r="E51" s="43">
        <v>216</v>
      </c>
      <c r="F51" s="43">
        <v>216</v>
      </c>
      <c r="G51" s="43">
        <v>216</v>
      </c>
      <c r="H51" s="43">
        <v>216</v>
      </c>
      <c r="I51" s="43">
        <v>216</v>
      </c>
      <c r="J51" s="43">
        <v>216</v>
      </c>
      <c r="K51" s="43">
        <v>216</v>
      </c>
      <c r="L51" s="43">
        <v>216</v>
      </c>
      <c r="M51" s="43">
        <v>216</v>
      </c>
      <c r="N51" s="43">
        <v>216</v>
      </c>
      <c r="O51" s="43">
        <v>216</v>
      </c>
      <c r="P51" s="43">
        <f t="shared" si="18"/>
        <v>2592</v>
      </c>
      <c r="Q51" s="42"/>
      <c r="R51" s="42"/>
    </row>
    <row r="52" spans="1:18" x14ac:dyDescent="0.3">
      <c r="A52" s="26"/>
      <c r="B52" s="90" t="s">
        <v>39</v>
      </c>
      <c r="C52" s="43"/>
      <c r="D52" s="43">
        <v>25</v>
      </c>
      <c r="E52" s="43">
        <v>25</v>
      </c>
      <c r="F52" s="43">
        <v>25</v>
      </c>
      <c r="G52" s="43">
        <v>25</v>
      </c>
      <c r="H52" s="43">
        <v>25</v>
      </c>
      <c r="I52" s="43">
        <v>25</v>
      </c>
      <c r="J52" s="43">
        <v>25</v>
      </c>
      <c r="K52" s="43">
        <v>25</v>
      </c>
      <c r="L52" s="43">
        <v>25</v>
      </c>
      <c r="M52" s="43">
        <v>25</v>
      </c>
      <c r="N52" s="43">
        <v>25</v>
      </c>
      <c r="O52" s="43">
        <v>25</v>
      </c>
      <c r="P52" s="43">
        <f t="shared" si="18"/>
        <v>300</v>
      </c>
      <c r="Q52" s="42"/>
      <c r="R52" s="42"/>
    </row>
    <row r="53" spans="1:18" x14ac:dyDescent="0.3">
      <c r="A53" s="194" t="s">
        <v>40</v>
      </c>
      <c r="B53" s="194"/>
      <c r="C53" s="43"/>
      <c r="D53" s="28">
        <f t="shared" ref="D53:P53" si="19">SUM(D45:D52)</f>
        <v>576</v>
      </c>
      <c r="E53" s="28">
        <f t="shared" si="19"/>
        <v>576</v>
      </c>
      <c r="F53" s="28">
        <f t="shared" si="19"/>
        <v>576</v>
      </c>
      <c r="G53" s="28">
        <f t="shared" si="19"/>
        <v>576</v>
      </c>
      <c r="H53" s="28">
        <f t="shared" si="19"/>
        <v>576</v>
      </c>
      <c r="I53" s="28">
        <f t="shared" si="19"/>
        <v>576</v>
      </c>
      <c r="J53" s="28">
        <f t="shared" si="19"/>
        <v>576</v>
      </c>
      <c r="K53" s="28">
        <f t="shared" si="19"/>
        <v>576</v>
      </c>
      <c r="L53" s="28">
        <f t="shared" si="19"/>
        <v>576</v>
      </c>
      <c r="M53" s="28">
        <f t="shared" si="19"/>
        <v>576</v>
      </c>
      <c r="N53" s="28">
        <f t="shared" si="19"/>
        <v>576</v>
      </c>
      <c r="O53" s="28">
        <f t="shared" si="19"/>
        <v>576</v>
      </c>
      <c r="P53" s="28">
        <f t="shared" si="19"/>
        <v>6912</v>
      </c>
      <c r="Q53" s="8">
        <f>SUM(P52)-P53</f>
        <v>-6612</v>
      </c>
      <c r="R53" s="42"/>
    </row>
    <row r="54" spans="1:18" x14ac:dyDescent="0.3">
      <c r="A54" s="194" t="s">
        <v>41</v>
      </c>
      <c r="B54" s="194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2"/>
      <c r="R54" s="42"/>
    </row>
    <row r="55" spans="1:18" x14ac:dyDescent="0.3">
      <c r="A55" s="26"/>
      <c r="B55" s="90" t="s">
        <v>42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f t="shared" ref="P55:P83" si="20">SUM(D55:O55)</f>
        <v>0</v>
      </c>
      <c r="Q55" s="42"/>
      <c r="R55" s="42"/>
    </row>
    <row r="56" spans="1:18" x14ac:dyDescent="0.3">
      <c r="A56" s="26"/>
      <c r="B56" s="90" t="s">
        <v>43</v>
      </c>
      <c r="C56" s="43"/>
      <c r="D56" s="42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>
        <f t="shared" si="20"/>
        <v>0</v>
      </c>
      <c r="Q56" s="43">
        <f>SUM(E56:P56)</f>
        <v>0</v>
      </c>
      <c r="R56" s="42"/>
    </row>
    <row r="57" spans="1:18" x14ac:dyDescent="0.3">
      <c r="A57" s="26"/>
      <c r="B57" s="90" t="s">
        <v>44</v>
      </c>
      <c r="C57" s="43"/>
      <c r="D57" s="43">
        <v>150</v>
      </c>
      <c r="E57" s="43">
        <v>150</v>
      </c>
      <c r="F57" s="43">
        <v>150</v>
      </c>
      <c r="G57" s="43">
        <v>150</v>
      </c>
      <c r="H57" s="43">
        <v>150</v>
      </c>
      <c r="I57" s="43">
        <v>150</v>
      </c>
      <c r="J57" s="43">
        <v>150</v>
      </c>
      <c r="K57" s="43">
        <v>150</v>
      </c>
      <c r="L57" s="43">
        <v>150</v>
      </c>
      <c r="M57" s="43">
        <v>150</v>
      </c>
      <c r="N57" s="43">
        <v>150</v>
      </c>
      <c r="O57" s="43">
        <v>150</v>
      </c>
      <c r="P57" s="43">
        <f t="shared" si="20"/>
        <v>1800</v>
      </c>
      <c r="Q57" s="42"/>
      <c r="R57" s="42"/>
    </row>
    <row r="58" spans="1:18" x14ac:dyDescent="0.3">
      <c r="A58" s="26"/>
      <c r="B58" s="90" t="s">
        <v>45</v>
      </c>
      <c r="C58" s="43"/>
      <c r="D58" s="43">
        <v>50</v>
      </c>
      <c r="E58" s="43">
        <v>50</v>
      </c>
      <c r="F58" s="43">
        <v>50</v>
      </c>
      <c r="G58" s="43">
        <v>50</v>
      </c>
      <c r="H58" s="43">
        <v>50</v>
      </c>
      <c r="I58" s="43">
        <v>50</v>
      </c>
      <c r="J58" s="43">
        <v>50</v>
      </c>
      <c r="K58" s="43">
        <v>50</v>
      </c>
      <c r="L58" s="43">
        <v>50</v>
      </c>
      <c r="M58" s="43">
        <v>50</v>
      </c>
      <c r="N58" s="43">
        <v>50</v>
      </c>
      <c r="O58" s="43">
        <v>50</v>
      </c>
      <c r="P58" s="43">
        <f t="shared" si="20"/>
        <v>600</v>
      </c>
      <c r="Q58" s="43">
        <f>SUM(E58:P58)</f>
        <v>1150</v>
      </c>
      <c r="R58" s="42"/>
    </row>
    <row r="59" spans="1:18" x14ac:dyDescent="0.3">
      <c r="A59" s="26"/>
      <c r="B59" s="90" t="s">
        <v>46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f t="shared" si="20"/>
        <v>0</v>
      </c>
      <c r="Q59" s="42"/>
      <c r="R59" s="42"/>
    </row>
    <row r="60" spans="1:18" x14ac:dyDescent="0.3">
      <c r="A60" s="26"/>
      <c r="B60" s="90" t="s">
        <v>47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f t="shared" si="20"/>
        <v>0</v>
      </c>
      <c r="Q60" s="42"/>
      <c r="R60" s="42"/>
    </row>
    <row r="61" spans="1:18" x14ac:dyDescent="0.3">
      <c r="A61" s="26"/>
      <c r="B61" s="90" t="s">
        <v>48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f t="shared" si="20"/>
        <v>0</v>
      </c>
      <c r="Q61" s="42"/>
      <c r="R61" s="42"/>
    </row>
    <row r="62" spans="1:18" x14ac:dyDescent="0.3">
      <c r="A62" s="26"/>
      <c r="B62" s="90" t="s">
        <v>49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>
        <f t="shared" si="20"/>
        <v>0</v>
      </c>
      <c r="Q62" s="42"/>
      <c r="R62" s="42"/>
    </row>
    <row r="63" spans="1:18" x14ac:dyDescent="0.3">
      <c r="A63" s="26"/>
      <c r="B63" s="90" t="s">
        <v>50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f t="shared" si="20"/>
        <v>0</v>
      </c>
      <c r="Q63" s="43">
        <f>SUM(E63:P63)</f>
        <v>0</v>
      </c>
      <c r="R63" s="42"/>
    </row>
    <row r="64" spans="1:18" x14ac:dyDescent="0.3">
      <c r="A64" s="26"/>
      <c r="B64" s="90" t="s">
        <v>51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20"/>
        <v>0</v>
      </c>
      <c r="Q64" s="42"/>
      <c r="R64" s="42"/>
    </row>
    <row r="65" spans="1:18" x14ac:dyDescent="0.3">
      <c r="A65" s="26"/>
      <c r="B65" s="90" t="s">
        <v>52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>
        <f t="shared" si="20"/>
        <v>0</v>
      </c>
      <c r="Q65" s="43">
        <f>SUM(E65:P65)</f>
        <v>0</v>
      </c>
      <c r="R65" s="42"/>
    </row>
    <row r="66" spans="1:18" x14ac:dyDescent="0.3">
      <c r="A66" s="26"/>
      <c r="B66" s="90" t="s">
        <v>53</v>
      </c>
      <c r="C66" s="43"/>
      <c r="D66" s="43">
        <v>65</v>
      </c>
      <c r="E66" s="43">
        <v>65</v>
      </c>
      <c r="F66" s="43">
        <v>65</v>
      </c>
      <c r="G66" s="43">
        <v>65</v>
      </c>
      <c r="H66" s="43">
        <v>65</v>
      </c>
      <c r="I66" s="43">
        <v>65</v>
      </c>
      <c r="J66" s="43">
        <v>65</v>
      </c>
      <c r="K66" s="43">
        <v>65</v>
      </c>
      <c r="L66" s="43">
        <v>65</v>
      </c>
      <c r="M66" s="43">
        <v>65</v>
      </c>
      <c r="N66" s="43">
        <v>65</v>
      </c>
      <c r="O66" s="43">
        <v>65</v>
      </c>
      <c r="P66" s="43">
        <f t="shared" si="20"/>
        <v>780</v>
      </c>
      <c r="Q66" s="43">
        <f>SUM(E66:P66)</f>
        <v>1495</v>
      </c>
      <c r="R66" s="42"/>
    </row>
    <row r="67" spans="1:18" x14ac:dyDescent="0.3">
      <c r="A67" s="26"/>
      <c r="B67" s="90" t="s">
        <v>54</v>
      </c>
      <c r="C67" s="43"/>
      <c r="D67" s="43">
        <v>88</v>
      </c>
      <c r="E67" s="43">
        <v>88</v>
      </c>
      <c r="F67" s="43">
        <f>88+125</f>
        <v>213</v>
      </c>
      <c r="G67" s="43">
        <v>88</v>
      </c>
      <c r="H67" s="43">
        <v>88</v>
      </c>
      <c r="I67" s="43">
        <f t="shared" ref="I67" si="21">88+125</f>
        <v>213</v>
      </c>
      <c r="J67" s="43">
        <v>88</v>
      </c>
      <c r="K67" s="43">
        <v>88</v>
      </c>
      <c r="L67" s="43">
        <f t="shared" ref="L67" si="22">88+125</f>
        <v>213</v>
      </c>
      <c r="M67" s="43">
        <v>88</v>
      </c>
      <c r="N67" s="43">
        <v>88</v>
      </c>
      <c r="O67" s="43">
        <f t="shared" ref="O67" si="23">88+125</f>
        <v>213</v>
      </c>
      <c r="P67" s="43">
        <f t="shared" si="20"/>
        <v>1556</v>
      </c>
      <c r="Q67" s="42"/>
      <c r="R67" s="42"/>
    </row>
    <row r="68" spans="1:18" x14ac:dyDescent="0.3">
      <c r="A68" s="26"/>
      <c r="B68" s="90" t="s">
        <v>55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>
        <f t="shared" si="20"/>
        <v>0</v>
      </c>
      <c r="Q68" s="42"/>
      <c r="R68" s="42"/>
    </row>
    <row r="69" spans="1:18" x14ac:dyDescent="0.3">
      <c r="A69" s="26"/>
      <c r="B69" s="90" t="s">
        <v>56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>
        <f t="shared" si="20"/>
        <v>0</v>
      </c>
      <c r="Q69" s="42"/>
      <c r="R69" s="42"/>
    </row>
    <row r="70" spans="1:18" x14ac:dyDescent="0.3">
      <c r="A70" s="26"/>
      <c r="B70" s="90" t="s">
        <v>57</v>
      </c>
      <c r="C70" s="43"/>
      <c r="D70" s="43">
        <v>137</v>
      </c>
      <c r="E70" s="43">
        <v>137</v>
      </c>
      <c r="F70" s="43">
        <v>137</v>
      </c>
      <c r="G70" s="43">
        <v>137</v>
      </c>
      <c r="H70" s="43">
        <v>137</v>
      </c>
      <c r="I70" s="43">
        <v>137</v>
      </c>
      <c r="J70" s="43">
        <v>137</v>
      </c>
      <c r="K70" s="43">
        <v>137</v>
      </c>
      <c r="L70" s="43">
        <v>137</v>
      </c>
      <c r="M70" s="43">
        <v>137</v>
      </c>
      <c r="N70" s="43">
        <v>137</v>
      </c>
      <c r="O70" s="43">
        <v>137</v>
      </c>
      <c r="P70" s="43">
        <f t="shared" si="20"/>
        <v>1644</v>
      </c>
      <c r="Q70" s="42"/>
      <c r="R70" s="42"/>
    </row>
    <row r="71" spans="1:18" x14ac:dyDescent="0.3">
      <c r="A71" s="26"/>
      <c r="B71" s="90" t="s">
        <v>58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>
        <f t="shared" si="20"/>
        <v>0</v>
      </c>
      <c r="Q71" s="42"/>
      <c r="R71" s="42"/>
    </row>
    <row r="72" spans="1:18" x14ac:dyDescent="0.3">
      <c r="A72" s="26"/>
      <c r="B72" s="90" t="s">
        <v>59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>
        <f t="shared" si="20"/>
        <v>0</v>
      </c>
      <c r="Q72" s="42"/>
      <c r="R72" s="42"/>
    </row>
    <row r="73" spans="1:18" x14ac:dyDescent="0.3">
      <c r="A73" s="26"/>
      <c r="B73" s="90" t="s">
        <v>60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>
        <f t="shared" si="20"/>
        <v>0</v>
      </c>
      <c r="Q73" s="42"/>
      <c r="R73" s="42"/>
    </row>
    <row r="74" spans="1:18" x14ac:dyDescent="0.3">
      <c r="A74" s="26"/>
      <c r="B74" s="90" t="s">
        <v>61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 t="shared" si="20"/>
        <v>0</v>
      </c>
      <c r="Q74" s="42"/>
      <c r="R74" s="42"/>
    </row>
    <row r="75" spans="1:18" x14ac:dyDescent="0.3">
      <c r="A75" s="26"/>
      <c r="B75" s="90" t="s">
        <v>62</v>
      </c>
      <c r="C75" s="43"/>
      <c r="D75" s="43">
        <v>34</v>
      </c>
      <c r="E75" s="43">
        <v>34</v>
      </c>
      <c r="F75" s="43">
        <v>34</v>
      </c>
      <c r="G75" s="43">
        <v>34</v>
      </c>
      <c r="H75" s="43">
        <v>34</v>
      </c>
      <c r="I75" s="43">
        <v>34</v>
      </c>
      <c r="J75" s="43">
        <v>34</v>
      </c>
      <c r="K75" s="43">
        <v>34</v>
      </c>
      <c r="L75" s="43">
        <v>34</v>
      </c>
      <c r="M75" s="43">
        <v>34</v>
      </c>
      <c r="N75" s="43">
        <v>34</v>
      </c>
      <c r="O75" s="43">
        <v>34</v>
      </c>
      <c r="P75" s="43">
        <f t="shared" si="20"/>
        <v>408</v>
      </c>
      <c r="Q75" s="43">
        <f>SUM(E75:P75)</f>
        <v>782</v>
      </c>
      <c r="R75" s="42"/>
    </row>
    <row r="76" spans="1:18" x14ac:dyDescent="0.3">
      <c r="A76" s="26"/>
      <c r="B76" s="90" t="s">
        <v>63</v>
      </c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>
        <f t="shared" si="20"/>
        <v>0</v>
      </c>
      <c r="Q76" s="42"/>
      <c r="R76" s="42"/>
    </row>
    <row r="77" spans="1:18" x14ac:dyDescent="0.3">
      <c r="A77" s="90" t="s">
        <v>17</v>
      </c>
      <c r="B77" s="90" t="s">
        <v>64</v>
      </c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>
        <f t="shared" si="20"/>
        <v>0</v>
      </c>
      <c r="Q77" s="42"/>
      <c r="R77" s="42"/>
    </row>
    <row r="78" spans="1:18" x14ac:dyDescent="0.3">
      <c r="A78" s="26"/>
      <c r="B78" s="90" t="s">
        <v>65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>
        <f t="shared" si="20"/>
        <v>0</v>
      </c>
      <c r="Q78" s="42"/>
      <c r="R78" s="42"/>
    </row>
    <row r="79" spans="1:18" x14ac:dyDescent="0.3">
      <c r="A79" s="26"/>
      <c r="B79" s="26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f t="shared" si="20"/>
        <v>0</v>
      </c>
      <c r="Q79" s="42"/>
      <c r="R79" s="42"/>
    </row>
    <row r="80" spans="1:18" x14ac:dyDescent="0.3">
      <c r="A80" s="26"/>
      <c r="B80" s="90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f t="shared" si="20"/>
        <v>0</v>
      </c>
      <c r="Q80" s="42"/>
      <c r="R80" s="42"/>
    </row>
    <row r="81" spans="1:18" x14ac:dyDescent="0.3">
      <c r="A81" s="26"/>
      <c r="B81" s="90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>
        <f t="shared" si="20"/>
        <v>0</v>
      </c>
      <c r="Q81" s="42"/>
      <c r="R81" s="42"/>
    </row>
    <row r="82" spans="1:18" x14ac:dyDescent="0.3">
      <c r="A82" s="26"/>
      <c r="B82" s="90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>
        <f t="shared" si="20"/>
        <v>0</v>
      </c>
      <c r="Q82" s="42"/>
      <c r="R82" s="42"/>
    </row>
    <row r="83" spans="1:18" x14ac:dyDescent="0.3">
      <c r="A83" s="26"/>
      <c r="B83" s="90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>
        <f t="shared" si="20"/>
        <v>0</v>
      </c>
      <c r="Q83" s="42"/>
      <c r="R83" s="42"/>
    </row>
    <row r="84" spans="1:18" x14ac:dyDescent="0.3">
      <c r="A84" s="194" t="s">
        <v>66</v>
      </c>
      <c r="B84" s="194"/>
      <c r="C84" s="43"/>
      <c r="D84" s="28">
        <f t="shared" ref="D84:P84" si="24">SUM(D56:D83)</f>
        <v>524</v>
      </c>
      <c r="E84" s="28">
        <f t="shared" si="24"/>
        <v>524</v>
      </c>
      <c r="F84" s="28">
        <f t="shared" si="24"/>
        <v>649</v>
      </c>
      <c r="G84" s="28">
        <f t="shared" si="24"/>
        <v>524</v>
      </c>
      <c r="H84" s="28">
        <f t="shared" si="24"/>
        <v>524</v>
      </c>
      <c r="I84" s="28">
        <f t="shared" si="24"/>
        <v>649</v>
      </c>
      <c r="J84" s="28">
        <f t="shared" si="24"/>
        <v>524</v>
      </c>
      <c r="K84" s="28">
        <f t="shared" si="24"/>
        <v>524</v>
      </c>
      <c r="L84" s="28">
        <f t="shared" si="24"/>
        <v>649</v>
      </c>
      <c r="M84" s="28">
        <f t="shared" si="24"/>
        <v>524</v>
      </c>
      <c r="N84" s="28">
        <f t="shared" si="24"/>
        <v>524</v>
      </c>
      <c r="O84" s="28">
        <f t="shared" si="24"/>
        <v>649</v>
      </c>
      <c r="P84" s="28">
        <f t="shared" si="24"/>
        <v>6788</v>
      </c>
      <c r="Q84" s="8">
        <f>SUM(P55:P83)-P84</f>
        <v>0</v>
      </c>
      <c r="R84" s="42"/>
    </row>
    <row r="85" spans="1:18" x14ac:dyDescent="0.3">
      <c r="A85" s="194" t="s">
        <v>67</v>
      </c>
      <c r="B85" s="194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2"/>
      <c r="R85" s="42"/>
    </row>
    <row r="86" spans="1:18" x14ac:dyDescent="0.3">
      <c r="A86" s="26"/>
      <c r="B86" s="90" t="s">
        <v>68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>
        <f t="shared" ref="P86:P104" si="25">SUM(D86:O86)</f>
        <v>0</v>
      </c>
      <c r="Q86" s="42"/>
      <c r="R86" s="42"/>
    </row>
    <row r="87" spans="1:18" x14ac:dyDescent="0.3">
      <c r="A87" s="26"/>
      <c r="B87" s="90" t="s">
        <v>69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>
        <f t="shared" si="25"/>
        <v>0</v>
      </c>
      <c r="Q87" s="42"/>
      <c r="R87" s="42"/>
    </row>
    <row r="88" spans="1:18" x14ac:dyDescent="0.3">
      <c r="A88" s="26"/>
      <c r="B88" s="90" t="s">
        <v>70</v>
      </c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>
        <f t="shared" si="25"/>
        <v>0</v>
      </c>
      <c r="Q88" s="42"/>
      <c r="R88" s="42"/>
    </row>
    <row r="89" spans="1:18" x14ac:dyDescent="0.3">
      <c r="A89" s="26"/>
      <c r="B89" s="90" t="s">
        <v>71</v>
      </c>
      <c r="C89" s="43"/>
      <c r="D89" s="43">
        <f>1400/12</f>
        <v>116.66666666666667</v>
      </c>
      <c r="E89" s="43">
        <f t="shared" ref="E89:O89" si="26">1400/12</f>
        <v>116.66666666666667</v>
      </c>
      <c r="F89" s="43">
        <f t="shared" si="26"/>
        <v>116.66666666666667</v>
      </c>
      <c r="G89" s="43">
        <f t="shared" si="26"/>
        <v>116.66666666666667</v>
      </c>
      <c r="H89" s="43">
        <f t="shared" si="26"/>
        <v>116.66666666666667</v>
      </c>
      <c r="I89" s="43">
        <f t="shared" si="26"/>
        <v>116.66666666666667</v>
      </c>
      <c r="J89" s="43">
        <f t="shared" si="26"/>
        <v>116.66666666666667</v>
      </c>
      <c r="K89" s="43">
        <f t="shared" si="26"/>
        <v>116.66666666666667</v>
      </c>
      <c r="L89" s="43">
        <f t="shared" si="26"/>
        <v>116.66666666666667</v>
      </c>
      <c r="M89" s="43">
        <f t="shared" si="26"/>
        <v>116.66666666666667</v>
      </c>
      <c r="N89" s="43">
        <f t="shared" si="26"/>
        <v>116.66666666666667</v>
      </c>
      <c r="O89" s="43">
        <f t="shared" si="26"/>
        <v>116.66666666666667</v>
      </c>
      <c r="P89" s="43">
        <f t="shared" si="25"/>
        <v>1400.0000000000002</v>
      </c>
      <c r="Q89" s="42"/>
      <c r="R89" s="42"/>
    </row>
    <row r="90" spans="1:18" x14ac:dyDescent="0.3">
      <c r="A90" s="26"/>
      <c r="B90" s="90" t="s">
        <v>72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>
        <f t="shared" si="25"/>
        <v>0</v>
      </c>
      <c r="Q90" s="42"/>
      <c r="R90" s="42"/>
    </row>
    <row r="91" spans="1:18" x14ac:dyDescent="0.3">
      <c r="A91" s="26"/>
      <c r="B91" s="90" t="s">
        <v>73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>
        <f t="shared" si="25"/>
        <v>0</v>
      </c>
      <c r="Q91" s="42"/>
      <c r="R91" s="42"/>
    </row>
    <row r="92" spans="1:18" x14ac:dyDescent="0.3">
      <c r="A92" s="26"/>
      <c r="B92" s="90" t="s">
        <v>74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>
        <f t="shared" si="25"/>
        <v>0</v>
      </c>
      <c r="Q92" s="42"/>
      <c r="R92" s="42"/>
    </row>
    <row r="93" spans="1:18" x14ac:dyDescent="0.3">
      <c r="A93" s="26"/>
      <c r="B93" s="90" t="s">
        <v>75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>
        <f t="shared" si="25"/>
        <v>0</v>
      </c>
      <c r="Q93" s="42"/>
      <c r="R93" s="42"/>
    </row>
    <row r="94" spans="1:18" x14ac:dyDescent="0.3">
      <c r="A94" s="26"/>
      <c r="B94" s="90" t="s">
        <v>76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>
        <f t="shared" si="25"/>
        <v>0</v>
      </c>
      <c r="Q94" s="42"/>
      <c r="R94" s="42"/>
    </row>
    <row r="95" spans="1:18" x14ac:dyDescent="0.3">
      <c r="A95" s="26"/>
      <c r="B95" s="90" t="s">
        <v>77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>
        <f t="shared" si="25"/>
        <v>0</v>
      </c>
      <c r="Q95" s="42"/>
      <c r="R95" s="42"/>
    </row>
    <row r="96" spans="1:18" x14ac:dyDescent="0.3">
      <c r="A96" s="26"/>
      <c r="B96" s="90" t="s">
        <v>78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>
        <f t="shared" si="25"/>
        <v>0</v>
      </c>
      <c r="Q96" s="42"/>
      <c r="R96" s="42"/>
    </row>
    <row r="97" spans="1:18" x14ac:dyDescent="0.3">
      <c r="A97" s="26"/>
      <c r="B97" s="90" t="s">
        <v>79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>
        <f t="shared" si="25"/>
        <v>0</v>
      </c>
      <c r="Q97" s="42"/>
      <c r="R97" s="42"/>
    </row>
    <row r="98" spans="1:18" x14ac:dyDescent="0.3">
      <c r="A98" s="26"/>
      <c r="B98" s="90" t="s">
        <v>80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>
        <f t="shared" si="25"/>
        <v>0</v>
      </c>
      <c r="Q98" s="42"/>
      <c r="R98" s="42"/>
    </row>
    <row r="99" spans="1:18" x14ac:dyDescent="0.3">
      <c r="A99" s="26"/>
      <c r="B99" s="90" t="s">
        <v>81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>
        <f t="shared" si="25"/>
        <v>0</v>
      </c>
      <c r="Q99" s="42"/>
      <c r="R99" s="42"/>
    </row>
    <row r="100" spans="1:18" x14ac:dyDescent="0.3">
      <c r="A100" s="26"/>
      <c r="B100" s="90" t="s">
        <v>82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>
        <f t="shared" si="25"/>
        <v>0</v>
      </c>
      <c r="Q100" s="42"/>
      <c r="R100" s="42"/>
    </row>
    <row r="101" spans="1:18" x14ac:dyDescent="0.3">
      <c r="A101" s="26"/>
      <c r="B101" s="90" t="s">
        <v>83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>
        <f t="shared" si="25"/>
        <v>0</v>
      </c>
      <c r="Q101" s="42"/>
      <c r="R101" s="42"/>
    </row>
    <row r="102" spans="1:18" x14ac:dyDescent="0.3">
      <c r="A102" s="26"/>
      <c r="B102" s="26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>
        <f t="shared" si="25"/>
        <v>0</v>
      </c>
      <c r="Q102" s="42"/>
      <c r="R102" s="42"/>
    </row>
    <row r="103" spans="1:18" x14ac:dyDescent="0.3">
      <c r="A103" s="26"/>
      <c r="B103" s="90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>
        <f t="shared" si="25"/>
        <v>0</v>
      </c>
      <c r="Q103" s="42"/>
      <c r="R103" s="42"/>
    </row>
    <row r="104" spans="1:18" x14ac:dyDescent="0.3">
      <c r="A104" s="26"/>
      <c r="B104" s="90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>
        <f t="shared" si="25"/>
        <v>0</v>
      </c>
      <c r="Q104" s="42"/>
      <c r="R104" s="42"/>
    </row>
    <row r="105" spans="1:18" x14ac:dyDescent="0.3">
      <c r="A105" s="194" t="s">
        <v>84</v>
      </c>
      <c r="B105" s="194"/>
      <c r="C105" s="43"/>
      <c r="D105" s="30">
        <f t="shared" ref="D105:P105" si="27">SUM(D86:D104)</f>
        <v>116.66666666666667</v>
      </c>
      <c r="E105" s="30">
        <f t="shared" si="27"/>
        <v>116.66666666666667</v>
      </c>
      <c r="F105" s="30">
        <f t="shared" si="27"/>
        <v>116.66666666666667</v>
      </c>
      <c r="G105" s="30">
        <f t="shared" si="27"/>
        <v>116.66666666666667</v>
      </c>
      <c r="H105" s="30">
        <f t="shared" si="27"/>
        <v>116.66666666666667</v>
      </c>
      <c r="I105" s="30">
        <f t="shared" si="27"/>
        <v>116.66666666666667</v>
      </c>
      <c r="J105" s="30">
        <f t="shared" si="27"/>
        <v>116.66666666666667</v>
      </c>
      <c r="K105" s="30">
        <f t="shared" si="27"/>
        <v>116.66666666666667</v>
      </c>
      <c r="L105" s="30">
        <f t="shared" si="27"/>
        <v>116.66666666666667</v>
      </c>
      <c r="M105" s="30">
        <f t="shared" si="27"/>
        <v>116.66666666666667</v>
      </c>
      <c r="N105" s="30">
        <f t="shared" si="27"/>
        <v>116.66666666666667</v>
      </c>
      <c r="O105" s="30">
        <f t="shared" si="27"/>
        <v>116.66666666666667</v>
      </c>
      <c r="P105" s="30">
        <f t="shared" si="27"/>
        <v>1400.0000000000002</v>
      </c>
      <c r="Q105" s="8">
        <f>SUM(P86:P104)-P105</f>
        <v>0</v>
      </c>
      <c r="R105" s="42"/>
    </row>
    <row r="106" spans="1:18" x14ac:dyDescent="0.3">
      <c r="A106" s="26"/>
      <c r="B106" s="90" t="s">
        <v>85</v>
      </c>
      <c r="C106" s="43"/>
      <c r="D106" s="30">
        <f t="shared" ref="D106:P106" si="28">D105+D84+D53+D43</f>
        <v>29568.995793766666</v>
      </c>
      <c r="E106" s="30">
        <f t="shared" si="28"/>
        <v>29569.018532932663</v>
      </c>
      <c r="F106" s="30">
        <f t="shared" si="28"/>
        <v>43870.194466065666</v>
      </c>
      <c r="G106" s="30">
        <f t="shared" si="28"/>
        <v>29569.018532932663</v>
      </c>
      <c r="H106" s="30">
        <f t="shared" si="28"/>
        <v>29569.018532932663</v>
      </c>
      <c r="I106" s="30">
        <f t="shared" si="28"/>
        <v>29694.018532932663</v>
      </c>
      <c r="J106" s="30">
        <f t="shared" si="28"/>
        <v>29569.018532932663</v>
      </c>
      <c r="K106" s="30">
        <f t="shared" si="28"/>
        <v>43745.194466065666</v>
      </c>
      <c r="L106" s="30">
        <f t="shared" si="28"/>
        <v>29694.018532932663</v>
      </c>
      <c r="M106" s="30">
        <f t="shared" si="28"/>
        <v>29569.018532932663</v>
      </c>
      <c r="N106" s="30">
        <f t="shared" si="28"/>
        <v>29569.018532932663</v>
      </c>
      <c r="O106" s="30">
        <f t="shared" si="28"/>
        <v>29694.018532932663</v>
      </c>
      <c r="P106" s="30">
        <f t="shared" si="28"/>
        <v>383680.55152229196</v>
      </c>
      <c r="Q106" s="42"/>
      <c r="R106" s="42"/>
    </row>
    <row r="107" spans="1:18" x14ac:dyDescent="0.3">
      <c r="A107" s="26"/>
      <c r="B107" s="90" t="s">
        <v>86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2"/>
      <c r="R107" s="42"/>
    </row>
    <row r="108" spans="1:18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2"/>
      <c r="R108" s="42"/>
    </row>
    <row r="109" spans="1:18" ht="15" thickBot="1" x14ac:dyDescent="0.35">
      <c r="A109" s="43"/>
      <c r="B109" s="43" t="s">
        <v>112</v>
      </c>
      <c r="C109" s="43"/>
      <c r="D109" s="31">
        <f t="shared" ref="D109:P109" si="29">D32-D106-D107</f>
        <v>-4490.8957937666673</v>
      </c>
      <c r="E109" s="31">
        <f t="shared" si="29"/>
        <v>-8827.2185329326639</v>
      </c>
      <c r="F109" s="31">
        <f t="shared" si="29"/>
        <v>-11400.094466065668</v>
      </c>
      <c r="G109" s="31">
        <f t="shared" si="29"/>
        <v>-7875.0185329326632</v>
      </c>
      <c r="H109" s="31">
        <f t="shared" si="29"/>
        <v>-7398.9185329326647</v>
      </c>
      <c r="I109" s="31">
        <f t="shared" si="29"/>
        <v>-8000.0185329326632</v>
      </c>
      <c r="J109" s="31">
        <f t="shared" si="29"/>
        <v>-4490.9185329326647</v>
      </c>
      <c r="K109" s="31">
        <f t="shared" si="29"/>
        <v>-21575.094466065668</v>
      </c>
      <c r="L109" s="31">
        <f t="shared" si="29"/>
        <v>-8000.0185329326632</v>
      </c>
      <c r="M109" s="31">
        <f t="shared" si="29"/>
        <v>-7398.9185329326647</v>
      </c>
      <c r="N109" s="31">
        <f t="shared" si="29"/>
        <v>-7875.0185329326632</v>
      </c>
      <c r="O109" s="31">
        <f t="shared" si="29"/>
        <v>-2059.9185329326647</v>
      </c>
      <c r="P109" s="31">
        <f t="shared" si="29"/>
        <v>-99392.051522291964</v>
      </c>
      <c r="Q109" s="42"/>
      <c r="R109" s="42"/>
    </row>
    <row r="110" spans="1:18" ht="15" thickTop="1" x14ac:dyDescent="0.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</row>
    <row r="111" spans="1:18" x14ac:dyDescent="0.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</row>
  </sheetData>
  <mergeCells count="16">
    <mergeCell ref="A26:B26"/>
    <mergeCell ref="A34:B34"/>
    <mergeCell ref="A43:B43"/>
    <mergeCell ref="A53:B53"/>
    <mergeCell ref="A84:B84"/>
    <mergeCell ref="A85:B85"/>
    <mergeCell ref="A27:B27"/>
    <mergeCell ref="A44:B44"/>
    <mergeCell ref="A54:B54"/>
    <mergeCell ref="A105:B105"/>
    <mergeCell ref="A4:B4"/>
    <mergeCell ref="A5:B5"/>
    <mergeCell ref="A12:B12"/>
    <mergeCell ref="A13:B13"/>
    <mergeCell ref="A19:B19"/>
    <mergeCell ref="A18:B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0"/>
  <sheetViews>
    <sheetView workbookViewId="0">
      <pane xSplit="3" ySplit="3" topLeftCell="D52" activePane="bottomRight" state="frozen"/>
      <selection pane="topRight" activeCell="D1" sqref="D1"/>
      <selection pane="bottomLeft" activeCell="A4" sqref="A4"/>
      <selection pane="bottomRight" activeCell="D57" sqref="D57"/>
    </sheetView>
  </sheetViews>
  <sheetFormatPr defaultRowHeight="14.4" x14ac:dyDescent="0.3"/>
  <cols>
    <col min="2" max="2" width="30.44140625" customWidth="1"/>
    <col min="3" max="3" width="2.44140625" customWidth="1"/>
    <col min="4" max="15" width="9.44140625" bestFit="1" customWidth="1"/>
    <col min="16" max="16" width="9.5546875" bestFit="1" customWidth="1"/>
    <col min="17" max="17" width="9.44140625" bestFit="1" customWidth="1"/>
  </cols>
  <sheetData>
    <row r="1" spans="1:17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x14ac:dyDescent="0.3">
      <c r="A3" s="25"/>
      <c r="B3" s="25"/>
      <c r="C3" s="25"/>
      <c r="D3" s="22" t="s">
        <v>100</v>
      </c>
      <c r="E3" s="22" t="s">
        <v>101</v>
      </c>
      <c r="F3" s="22" t="s">
        <v>102</v>
      </c>
      <c r="G3" s="22" t="s">
        <v>103</v>
      </c>
      <c r="H3" s="22" t="s">
        <v>104</v>
      </c>
      <c r="I3" s="22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  <c r="Q3" s="25"/>
    </row>
    <row r="4" spans="1:17" x14ac:dyDescent="0.3">
      <c r="A4" s="194" t="s">
        <v>99</v>
      </c>
      <c r="B4" s="19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x14ac:dyDescent="0.3">
      <c r="A5" s="194" t="s">
        <v>1</v>
      </c>
      <c r="B5" s="19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x14ac:dyDescent="0.3">
      <c r="A6" s="26"/>
      <c r="B6" s="27" t="s">
        <v>2</v>
      </c>
      <c r="C6" s="25"/>
      <c r="D6" s="25">
        <f>Damiano!D6+Grace!D6+'Agape Home'!D6+'AGAPE DOS'!D6</f>
        <v>71473.971999999994</v>
      </c>
      <c r="E6" s="25">
        <f>Damiano!E6+Grace!E6+'Agape Home'!E6+'AGAPE DOS'!E6</f>
        <v>65073.707999999999</v>
      </c>
      <c r="F6" s="25">
        <f>Damiano!F6+Grace!F6+'Agape Home'!F6+'AGAPE DOS'!F6</f>
        <v>72045.891000000003</v>
      </c>
      <c r="G6" s="25">
        <f>Damiano!G6+Grace!G6+'Agape Home'!G6+'AGAPE DOS'!G6</f>
        <v>70182.39</v>
      </c>
      <c r="H6" s="25">
        <f>Damiano!H6+Grace!H6+'Agape Home'!H6+'AGAPE DOS'!H6</f>
        <v>72692.318499999994</v>
      </c>
      <c r="I6" s="25">
        <f>Damiano!I6+Grace!I6+'Agape Home'!I6+'AGAPE DOS'!I6</f>
        <v>70530.868999999992</v>
      </c>
      <c r="J6" s="37">
        <f>Damiano!J6+Grace!J6+'Agape Home'!J6+'AGAPE DOS'!J6</f>
        <v>72692.318499999994</v>
      </c>
      <c r="K6" s="37">
        <f>Damiano!K6+Grace!K6+'Agape Home'!K6+'AGAPE DOS'!K6</f>
        <v>72692.318499999994</v>
      </c>
      <c r="L6" s="37">
        <f>Damiano!L6+Grace!L6+'Agape Home'!L6+'AGAPE DOS'!L6</f>
        <v>70530.868999999992</v>
      </c>
      <c r="M6" s="37">
        <f>Damiano!M6+Grace!M6+'Agape Home'!M6+'AGAPE DOS'!M6</f>
        <v>72692.318499999994</v>
      </c>
      <c r="N6" s="37">
        <f>Damiano!N6+Grace!N6+'Agape Home'!N6+'AGAPE DOS'!N6</f>
        <v>70530.868999999992</v>
      </c>
      <c r="O6" s="37">
        <f>Damiano!O6+Grace!O6+'Agape Home'!O6+'AGAPE DOS'!O6</f>
        <v>72692.318499999994</v>
      </c>
      <c r="P6" s="37">
        <f t="shared" ref="P6:P11" si="0">SUM(D6:O6)</f>
        <v>853830.1605</v>
      </c>
      <c r="Q6" s="25"/>
    </row>
    <row r="7" spans="1:17" x14ac:dyDescent="0.3">
      <c r="A7" s="26"/>
      <c r="B7" s="27" t="s">
        <v>204</v>
      </c>
      <c r="C7" s="25"/>
      <c r="D7" s="25">
        <f>Damiano!D7+Grace!D7+'Agape Home'!D7+'AGAPE DOS'!D7</f>
        <v>0</v>
      </c>
      <c r="E7" s="25">
        <f>Damiano!E7+Grace!E7+'Agape Home'!E7+'AGAPE DOS'!E7</f>
        <v>0</v>
      </c>
      <c r="F7" s="25">
        <f>Damiano!F7+Grace!F7+'Agape Home'!F7+'AGAPE DOS'!F7</f>
        <v>0</v>
      </c>
      <c r="G7" s="25">
        <f>Damiano!G7+Grace!G7+'Agape Home'!G7+'AGAPE DOS'!G7</f>
        <v>0</v>
      </c>
      <c r="H7" s="25">
        <f>Damiano!H7+Grace!H7+'Agape Home'!H7+'AGAPE DOS'!H7</f>
        <v>0</v>
      </c>
      <c r="I7" s="25">
        <f>Damiano!I7+Grace!I7+'Agape Home'!I7+'AGAPE DOS'!I7</f>
        <v>0</v>
      </c>
      <c r="J7" s="25">
        <f>Damiano!J7+Grace!J7+'Agape Home'!J7+'AGAPE DOS'!J7</f>
        <v>0</v>
      </c>
      <c r="K7" s="25">
        <f>Damiano!K7+Grace!K7+'Agape Home'!K7+'AGAPE DOS'!K7</f>
        <v>0</v>
      </c>
      <c r="L7" s="25">
        <f>Damiano!L7+Grace!L7+'Agape Home'!L7+'AGAPE DOS'!L7</f>
        <v>0</v>
      </c>
      <c r="M7" s="25">
        <f>Damiano!M7+Grace!M7+'Agape Home'!M7+'AGAPE DOS'!M7</f>
        <v>0</v>
      </c>
      <c r="N7" s="25">
        <f>Damiano!N7+Grace!N7+'Agape Home'!N7+'AGAPE DOS'!N7</f>
        <v>0</v>
      </c>
      <c r="O7" s="25">
        <f>Damiano!O7+Grace!O7+'Agape Home'!O7+'AGAPE DOS'!O7</f>
        <v>0</v>
      </c>
      <c r="P7" s="25">
        <f t="shared" si="0"/>
        <v>0</v>
      </c>
      <c r="Q7" s="25"/>
    </row>
    <row r="8" spans="1:17" s="42" customFormat="1" x14ac:dyDescent="0.3">
      <c r="A8" s="26"/>
      <c r="B8" s="95" t="s">
        <v>205</v>
      </c>
      <c r="C8" s="43"/>
      <c r="D8" s="43">
        <f>Damiano!D8+Grace!D8+'Agape Home'!D8+'AGAPE DOS'!D8</f>
        <v>0</v>
      </c>
      <c r="E8" s="43">
        <f>Damiano!E8+Grace!E8+'Agape Home'!E8+'AGAPE DOS'!E8</f>
        <v>0</v>
      </c>
      <c r="F8" s="43">
        <f>Damiano!F8+Grace!F8+'Agape Home'!F8+'AGAPE DOS'!F8</f>
        <v>0</v>
      </c>
      <c r="G8" s="43">
        <f>Damiano!G8+Grace!G8+'Agape Home'!G8+'AGAPE DOS'!G8</f>
        <v>0</v>
      </c>
      <c r="H8" s="43">
        <f>Damiano!H8+Grace!H8+'Agape Home'!H8+'AGAPE DOS'!H8</f>
        <v>0</v>
      </c>
      <c r="I8" s="43">
        <f>Damiano!I8+Grace!I8+'Agape Home'!I8+'AGAPE DOS'!I8</f>
        <v>0</v>
      </c>
      <c r="J8" s="43">
        <f>Damiano!J8+Grace!J8+'Agape Home'!J8+'AGAPE DOS'!J8</f>
        <v>0</v>
      </c>
      <c r="K8" s="43">
        <f>Damiano!K8+Grace!K8+'Agape Home'!K8+'AGAPE DOS'!K8</f>
        <v>0</v>
      </c>
      <c r="L8" s="43">
        <f>Damiano!L8+Grace!L8+'Agape Home'!L8+'AGAPE DOS'!L8</f>
        <v>0</v>
      </c>
      <c r="M8" s="43">
        <f>Damiano!M8+Grace!M8+'Agape Home'!M8+'AGAPE DOS'!M8</f>
        <v>0</v>
      </c>
      <c r="N8" s="43">
        <f>Damiano!N8+Grace!N8+'Agape Home'!N8+'AGAPE DOS'!N8</f>
        <v>0</v>
      </c>
      <c r="O8" s="43">
        <f>Damiano!O8+Grace!O8+'Agape Home'!O8+'AGAPE DOS'!O8</f>
        <v>0</v>
      </c>
      <c r="P8" s="43">
        <f t="shared" si="0"/>
        <v>0</v>
      </c>
      <c r="Q8" s="43"/>
    </row>
    <row r="9" spans="1:17" x14ac:dyDescent="0.3">
      <c r="A9" s="26"/>
      <c r="B9" s="27" t="s">
        <v>4</v>
      </c>
      <c r="C9" s="25"/>
      <c r="D9" s="43">
        <f>Damiano!D9+Grace!D9+'Agape Home'!D9+'AGAPE DOS'!D9</f>
        <v>10510.8</v>
      </c>
      <c r="E9" s="43">
        <f>Damiano!E9+Grace!E9+'Agape Home'!E9+'AGAPE DOS'!E9</f>
        <v>10510.8</v>
      </c>
      <c r="F9" s="43">
        <f>Damiano!F9+Grace!F9+'Agape Home'!F9+'AGAPE DOS'!F9</f>
        <v>10510.8</v>
      </c>
      <c r="G9" s="43">
        <f>Damiano!G9+Grace!G9+'Agape Home'!G9+'AGAPE DOS'!G9</f>
        <v>10510.8</v>
      </c>
      <c r="H9" s="43">
        <f>Damiano!H9+Grace!H9+'Agape Home'!H9+'AGAPE DOS'!H9</f>
        <v>10510.8</v>
      </c>
      <c r="I9" s="43">
        <f>Damiano!I9+Grace!I9+'Agape Home'!I9+'AGAPE DOS'!I9</f>
        <v>10510.8</v>
      </c>
      <c r="J9" s="43">
        <f>Damiano!J9+Grace!J9+'Agape Home'!J9+'AGAPE DOS'!J9</f>
        <v>10510.8</v>
      </c>
      <c r="K9" s="43">
        <f>Damiano!K9+Grace!K9+'Agape Home'!K9+'AGAPE DOS'!K9</f>
        <v>10510.8</v>
      </c>
      <c r="L9" s="43">
        <f>Damiano!L9+Grace!L9+'Agape Home'!L9+'AGAPE DOS'!L9</f>
        <v>10510.8</v>
      </c>
      <c r="M9" s="43">
        <f>Damiano!M9+Grace!M9+'Agape Home'!M9+'AGAPE DOS'!M9</f>
        <v>10510.8</v>
      </c>
      <c r="N9" s="43">
        <f>Damiano!N9+Grace!N9+'Agape Home'!N9+'AGAPE DOS'!N9</f>
        <v>10510.8</v>
      </c>
      <c r="O9" s="43">
        <f>Damiano!O9+Grace!O9+'Agape Home'!O9+'AGAPE DOS'!O9</f>
        <v>10510.8</v>
      </c>
      <c r="P9" s="43">
        <f t="shared" si="0"/>
        <v>126129.60000000002</v>
      </c>
      <c r="Q9" s="25"/>
    </row>
    <row r="10" spans="1:17" s="42" customFormat="1" x14ac:dyDescent="0.3">
      <c r="A10" s="26"/>
      <c r="B10" s="95" t="s">
        <v>206</v>
      </c>
      <c r="C10" s="43"/>
      <c r="D10" s="43">
        <f>Damiano!D10+Grace!D10+'Agape Home'!D10+'AGAPE DOS'!D10</f>
        <v>0</v>
      </c>
      <c r="E10" s="43">
        <f>Damiano!E10+Grace!E10+'Agape Home'!E10+'AGAPE DOS'!E10</f>
        <v>0</v>
      </c>
      <c r="F10" s="43">
        <f>Damiano!F10+Grace!F10+'Agape Home'!F10+'AGAPE DOS'!F10</f>
        <v>0</v>
      </c>
      <c r="G10" s="43">
        <f>Damiano!G10+Grace!G10+'Agape Home'!G10+'AGAPE DOS'!G10</f>
        <v>0</v>
      </c>
      <c r="H10" s="43">
        <f>Damiano!H10+Grace!H10+'Agape Home'!H10+'AGAPE DOS'!H10</f>
        <v>0</v>
      </c>
      <c r="I10" s="43">
        <f>Damiano!I10+Grace!I10+'Agape Home'!I10+'AGAPE DOS'!I10</f>
        <v>0</v>
      </c>
      <c r="J10" s="43">
        <f>Damiano!J10+Grace!J10+'Agape Home'!J10+'AGAPE DOS'!J10</f>
        <v>0</v>
      </c>
      <c r="K10" s="43">
        <f>Damiano!K10+Grace!K10+'Agape Home'!K10+'AGAPE DOS'!K10</f>
        <v>0</v>
      </c>
      <c r="L10" s="43">
        <f>Damiano!L10+Grace!L10+'Agape Home'!L10+'AGAPE DOS'!L10</f>
        <v>0</v>
      </c>
      <c r="M10" s="43">
        <f>Damiano!M10+Grace!M10+'Agape Home'!M10+'AGAPE DOS'!M10</f>
        <v>0</v>
      </c>
      <c r="N10" s="43">
        <f>Damiano!N10+Grace!N10+'Agape Home'!N10+'AGAPE DOS'!N10</f>
        <v>0</v>
      </c>
      <c r="O10" s="43">
        <f>Damiano!O10+Grace!O10+'Agape Home'!O10+'AGAPE DOS'!O10</f>
        <v>0</v>
      </c>
      <c r="P10" s="43">
        <f t="shared" si="0"/>
        <v>0</v>
      </c>
      <c r="Q10" s="43"/>
    </row>
    <row r="11" spans="1:17" x14ac:dyDescent="0.3">
      <c r="A11" s="26"/>
      <c r="B11" s="27" t="s">
        <v>207</v>
      </c>
      <c r="C11" s="25"/>
      <c r="D11" s="25">
        <f>Damiano!D11+Grace!D11+'Agape Home'!D11+'AGAPE DOS'!D11</f>
        <v>0</v>
      </c>
      <c r="E11" s="25">
        <f>Damiano!E11+Grace!E11+'Agape Home'!E11+'AGAPE DOS'!E11</f>
        <v>0</v>
      </c>
      <c r="F11" s="25">
        <f>Damiano!F11+Grace!F11+'Agape Home'!F11+'AGAPE DOS'!F11</f>
        <v>0</v>
      </c>
      <c r="G11" s="25">
        <f>Damiano!G11+Grace!G11+'Agape Home'!G11+'AGAPE DOS'!G11</f>
        <v>0</v>
      </c>
      <c r="H11" s="25">
        <f>Damiano!H11+Grace!H11+'Agape Home'!H11+'AGAPE DOS'!H11</f>
        <v>0</v>
      </c>
      <c r="I11" s="25">
        <f>Damiano!I11+Grace!I11+'Agape Home'!I11+'AGAPE DOS'!I11</f>
        <v>0</v>
      </c>
      <c r="J11" s="25">
        <f>Damiano!J11+Grace!J11+'Agape Home'!J11+'AGAPE DOS'!J11</f>
        <v>0</v>
      </c>
      <c r="K11" s="25">
        <f>Damiano!K11+Grace!K11+'Agape Home'!K11+'AGAPE DOS'!K11</f>
        <v>0</v>
      </c>
      <c r="L11" s="25">
        <f>Damiano!L11+Grace!L11+'Agape Home'!L11+'AGAPE DOS'!L11</f>
        <v>0</v>
      </c>
      <c r="M11" s="25">
        <f>Damiano!M11+Grace!M11+'Agape Home'!M11+'AGAPE DOS'!M11</f>
        <v>0</v>
      </c>
      <c r="N11" s="25">
        <f>Damiano!N11+Grace!N11+'Agape Home'!N11+'AGAPE DOS'!N11</f>
        <v>0</v>
      </c>
      <c r="O11" s="25">
        <f>Damiano!O11+Grace!O11+'Agape Home'!O11+'AGAPE DOS'!O11</f>
        <v>0</v>
      </c>
      <c r="P11" s="25">
        <f t="shared" si="0"/>
        <v>0</v>
      </c>
      <c r="Q11" s="25"/>
    </row>
    <row r="12" spans="1:17" x14ac:dyDescent="0.3">
      <c r="A12" s="194" t="s">
        <v>6</v>
      </c>
      <c r="B12" s="194"/>
      <c r="C12" s="25"/>
      <c r="D12" s="28">
        <f>SUM(D6:D11)</f>
        <v>81984.771999999997</v>
      </c>
      <c r="E12" s="28">
        <f t="shared" ref="E12:P12" si="1">SUM(E6:E11)</f>
        <v>75584.508000000002</v>
      </c>
      <c r="F12" s="28">
        <f t="shared" si="1"/>
        <v>82556.691000000006</v>
      </c>
      <c r="G12" s="28">
        <f t="shared" si="1"/>
        <v>80693.19</v>
      </c>
      <c r="H12" s="28">
        <f t="shared" si="1"/>
        <v>83203.118499999997</v>
      </c>
      <c r="I12" s="28">
        <f t="shared" si="1"/>
        <v>81041.668999999994</v>
      </c>
      <c r="J12" s="28">
        <f t="shared" si="1"/>
        <v>83203.118499999997</v>
      </c>
      <c r="K12" s="28">
        <f t="shared" si="1"/>
        <v>83203.118499999997</v>
      </c>
      <c r="L12" s="28">
        <f t="shared" si="1"/>
        <v>81041.668999999994</v>
      </c>
      <c r="M12" s="28">
        <f t="shared" si="1"/>
        <v>83203.118499999997</v>
      </c>
      <c r="N12" s="28">
        <f t="shared" si="1"/>
        <v>81041.668999999994</v>
      </c>
      <c r="O12" s="28">
        <f t="shared" si="1"/>
        <v>83203.118499999997</v>
      </c>
      <c r="P12" s="28">
        <f t="shared" si="1"/>
        <v>979959.76049999997</v>
      </c>
      <c r="Q12" s="29">
        <f>P12-P6-P7-P9-P11</f>
        <v>-4.3655745685100555E-11</v>
      </c>
    </row>
    <row r="13" spans="1:17" x14ac:dyDescent="0.3">
      <c r="A13" s="194" t="s">
        <v>7</v>
      </c>
      <c r="B13" s="19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x14ac:dyDescent="0.3">
      <c r="A14" s="26"/>
      <c r="B14" s="97" t="s">
        <v>8</v>
      </c>
      <c r="C14" s="25"/>
      <c r="D14" s="25">
        <f>Damiano!D14+Grace!D14+'Agape Home'!D14+'AGAPE DOS'!D14</f>
        <v>0</v>
      </c>
      <c r="E14" s="25">
        <f>Damiano!E14+Grace!E14+'Agape Home'!E14+'AGAPE DOS'!E14</f>
        <v>0</v>
      </c>
      <c r="F14" s="25">
        <f>Damiano!F14+Grace!F14+'Agape Home'!F14+'AGAPE DOS'!F14</f>
        <v>0</v>
      </c>
      <c r="G14" s="25">
        <f>Damiano!G14+Grace!G14+'Agape Home'!G14+'AGAPE DOS'!G14</f>
        <v>0</v>
      </c>
      <c r="H14" s="25">
        <f>Damiano!H14+Grace!H14+'Agape Home'!H14+'AGAPE DOS'!H14</f>
        <v>0</v>
      </c>
      <c r="I14" s="25">
        <f>Damiano!I14+Grace!I14+'Agape Home'!I14+'AGAPE DOS'!I14</f>
        <v>0</v>
      </c>
      <c r="J14" s="25">
        <f>Damiano!J14+Grace!J14+'Agape Home'!J14+'AGAPE DOS'!J14</f>
        <v>0</v>
      </c>
      <c r="K14" s="25">
        <f>Damiano!K14+Grace!K14+'Agape Home'!K14+'AGAPE DOS'!K14</f>
        <v>0</v>
      </c>
      <c r="L14" s="25">
        <f>Damiano!L14+Grace!L14+'Agape Home'!L14+'AGAPE DOS'!L14</f>
        <v>0</v>
      </c>
      <c r="M14" s="25">
        <f>Damiano!M14+Grace!M14+'Agape Home'!M14+'AGAPE DOS'!M14</f>
        <v>0</v>
      </c>
      <c r="N14" s="25">
        <f>Damiano!N14+Grace!N14+'Agape Home'!N14+'AGAPE DOS'!N14</f>
        <v>0</v>
      </c>
      <c r="O14" s="25">
        <f>Damiano!O14+Grace!O14+'Agape Home'!O14+'AGAPE DOS'!O14</f>
        <v>0</v>
      </c>
      <c r="P14" s="25">
        <f>SUM(D14:O14)</f>
        <v>0</v>
      </c>
      <c r="Q14" s="25"/>
    </row>
    <row r="15" spans="1:17" x14ac:dyDescent="0.3">
      <c r="A15" s="26"/>
      <c r="B15" s="97" t="s">
        <v>9</v>
      </c>
      <c r="C15" s="25"/>
      <c r="D15" s="25">
        <f>Damiano!D15+Grace!D15+'Agape Home'!D15+'AGAPE DOS'!D15</f>
        <v>0</v>
      </c>
      <c r="E15" s="25">
        <f>Damiano!E15+Grace!E15+'Agape Home'!E15+'AGAPE DOS'!E15</f>
        <v>0</v>
      </c>
      <c r="F15" s="25">
        <f>Damiano!F15+Grace!F15+'Agape Home'!F15+'AGAPE DOS'!F15</f>
        <v>0</v>
      </c>
      <c r="G15" s="25">
        <f>Damiano!G15+Grace!G15+'Agape Home'!G15+'AGAPE DOS'!G15</f>
        <v>0</v>
      </c>
      <c r="H15" s="25">
        <f>Damiano!H15+Grace!H15+'Agape Home'!H15+'AGAPE DOS'!H15</f>
        <v>0</v>
      </c>
      <c r="I15" s="25">
        <f>Damiano!I15+Grace!I15+'Agape Home'!I15+'AGAPE DOS'!I15</f>
        <v>0</v>
      </c>
      <c r="J15" s="25">
        <f>Damiano!J15+Grace!J15+'Agape Home'!J15+'AGAPE DOS'!J15</f>
        <v>0</v>
      </c>
      <c r="K15" s="25">
        <f>Damiano!K15+Grace!K15+'Agape Home'!K15+'AGAPE DOS'!K15</f>
        <v>0</v>
      </c>
      <c r="L15" s="25">
        <f>Damiano!L15+Grace!L15+'Agape Home'!L15+'AGAPE DOS'!L15</f>
        <v>0</v>
      </c>
      <c r="M15" s="25">
        <f>Damiano!M15+Grace!M15+'Agape Home'!M15+'AGAPE DOS'!M15</f>
        <v>0</v>
      </c>
      <c r="N15" s="25">
        <f>Damiano!N15+Grace!N15+'Agape Home'!N15+'AGAPE DOS'!N15</f>
        <v>0</v>
      </c>
      <c r="O15" s="25">
        <f>Damiano!O15+Grace!O15+'Agape Home'!O15+'AGAPE DOS'!O15</f>
        <v>0</v>
      </c>
      <c r="P15" s="25">
        <f>SUM(D15:O15)</f>
        <v>0</v>
      </c>
      <c r="Q15" s="25"/>
    </row>
    <row r="16" spans="1:17" x14ac:dyDescent="0.3">
      <c r="A16" s="26"/>
      <c r="B16" s="97" t="s">
        <v>219</v>
      </c>
      <c r="C16" s="25"/>
      <c r="D16" s="25">
        <f>Damiano!D16+Grace!D16+'Agape Home'!D16+'AGAPE DOS'!D16</f>
        <v>0</v>
      </c>
      <c r="E16" s="25">
        <f>Damiano!E16+Grace!E16+'Agape Home'!E16+'AGAPE DOS'!E16</f>
        <v>0</v>
      </c>
      <c r="F16" s="25">
        <f>Damiano!F16+Grace!F16+'Agape Home'!F16+'AGAPE DOS'!F16</f>
        <v>0</v>
      </c>
      <c r="G16" s="25">
        <f>Damiano!G16+Grace!G16+'Agape Home'!G16+'AGAPE DOS'!G16</f>
        <v>0</v>
      </c>
      <c r="H16" s="25">
        <f>Damiano!H16+Grace!H16+'Agape Home'!H16+'AGAPE DOS'!H16</f>
        <v>0</v>
      </c>
      <c r="I16" s="25">
        <f>Damiano!I16+Grace!I16+'Agape Home'!I16+'AGAPE DOS'!I16</f>
        <v>0</v>
      </c>
      <c r="J16" s="25">
        <f>Damiano!J16+Grace!J16+'Agape Home'!J16+'AGAPE DOS'!J16</f>
        <v>0</v>
      </c>
      <c r="K16" s="25">
        <f>Damiano!K16+Grace!K16+'Agape Home'!K16+'AGAPE DOS'!K16</f>
        <v>0</v>
      </c>
      <c r="L16" s="25">
        <f>Damiano!L16+Grace!L16+'Agape Home'!L16+'AGAPE DOS'!L16</f>
        <v>0</v>
      </c>
      <c r="M16" s="25">
        <f>Damiano!M16+Grace!M16+'Agape Home'!M16+'AGAPE DOS'!M16</f>
        <v>0</v>
      </c>
      <c r="N16" s="25">
        <f>Damiano!N16+Grace!N16+'Agape Home'!N16+'AGAPE DOS'!N16</f>
        <v>0</v>
      </c>
      <c r="O16" s="25">
        <f>Damiano!O16+Grace!O16+'Agape Home'!O16+'AGAPE DOS'!O16</f>
        <v>0</v>
      </c>
      <c r="P16" s="25">
        <f>SUM(D16:O16)</f>
        <v>0</v>
      </c>
      <c r="Q16" s="25"/>
    </row>
    <row r="17" spans="1:17" x14ac:dyDescent="0.3">
      <c r="A17" s="26"/>
      <c r="B17" s="66" t="s">
        <v>16</v>
      </c>
      <c r="C17" s="25"/>
      <c r="D17" s="25">
        <f>Damiano!D17+Grace!D17+'Agape Home'!D17+'AGAPE DOS'!D17</f>
        <v>0</v>
      </c>
      <c r="E17" s="25">
        <f>Damiano!E17+Grace!E17+'Agape Home'!E17+'AGAPE DOS'!E17</f>
        <v>0</v>
      </c>
      <c r="F17" s="25">
        <f>Damiano!F17+Grace!F17+'Agape Home'!F17+'AGAPE DOS'!F17</f>
        <v>0</v>
      </c>
      <c r="G17" s="25">
        <f>Damiano!G17+Grace!G17+'Agape Home'!G17+'AGAPE DOS'!G17</f>
        <v>0</v>
      </c>
      <c r="H17" s="25">
        <f>Damiano!H17+Grace!H17+'Agape Home'!H17+'AGAPE DOS'!H17</f>
        <v>0</v>
      </c>
      <c r="I17" s="25">
        <f>Damiano!I17+Grace!I17+'Agape Home'!I17+'AGAPE DOS'!I17</f>
        <v>0</v>
      </c>
      <c r="J17" s="25">
        <f>Damiano!J17+Grace!J17+'Agape Home'!J17+'AGAPE DOS'!J17</f>
        <v>0</v>
      </c>
      <c r="K17" s="25">
        <f>Damiano!K17+Grace!K17+'Agape Home'!K17+'AGAPE DOS'!K17</f>
        <v>0</v>
      </c>
      <c r="L17" s="25">
        <f>Damiano!L17+Grace!L17+'Agape Home'!L17+'AGAPE DOS'!L17</f>
        <v>0</v>
      </c>
      <c r="M17" s="25">
        <f>Damiano!M17+Grace!M17+'Agape Home'!M17+'AGAPE DOS'!M17</f>
        <v>0</v>
      </c>
      <c r="N17" s="25">
        <f>Damiano!N17+Grace!N17+'Agape Home'!N17+'AGAPE DOS'!N17</f>
        <v>0</v>
      </c>
      <c r="O17" s="25">
        <f>Damiano!O17+Grace!O17+'Agape Home'!O17+'AGAPE DOS'!O17</f>
        <v>0</v>
      </c>
      <c r="P17" s="25">
        <f>SUM(D17:O17)</f>
        <v>0</v>
      </c>
      <c r="Q17" s="25"/>
    </row>
    <row r="18" spans="1:17" x14ac:dyDescent="0.3">
      <c r="A18" s="194" t="s">
        <v>10</v>
      </c>
      <c r="B18" s="194"/>
      <c r="C18" s="25"/>
      <c r="D18" s="28">
        <f>SUM(D14:D17)</f>
        <v>0</v>
      </c>
      <c r="E18" s="28">
        <f t="shared" ref="E18:P18" si="2">SUM(E14:E17)</f>
        <v>0</v>
      </c>
      <c r="F18" s="28">
        <f t="shared" si="2"/>
        <v>0</v>
      </c>
      <c r="G18" s="28">
        <f t="shared" si="2"/>
        <v>0</v>
      </c>
      <c r="H18" s="28">
        <f t="shared" si="2"/>
        <v>0</v>
      </c>
      <c r="I18" s="28">
        <f t="shared" si="2"/>
        <v>0</v>
      </c>
      <c r="J18" s="28">
        <f t="shared" si="2"/>
        <v>0</v>
      </c>
      <c r="K18" s="28">
        <f t="shared" si="2"/>
        <v>0</v>
      </c>
      <c r="L18" s="28">
        <f t="shared" si="2"/>
        <v>0</v>
      </c>
      <c r="M18" s="28">
        <f t="shared" si="2"/>
        <v>0</v>
      </c>
      <c r="N18" s="28">
        <f t="shared" si="2"/>
        <v>0</v>
      </c>
      <c r="O18" s="28">
        <f t="shared" si="2"/>
        <v>0</v>
      </c>
      <c r="P18" s="28">
        <f t="shared" si="2"/>
        <v>0</v>
      </c>
      <c r="Q18" s="29">
        <f>P18-P14-P15-P16-P17</f>
        <v>0</v>
      </c>
    </row>
    <row r="19" spans="1:17" x14ac:dyDescent="0.3">
      <c r="A19" s="194" t="s">
        <v>11</v>
      </c>
      <c r="B19" s="19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x14ac:dyDescent="0.3">
      <c r="A20" s="26"/>
      <c r="B20" s="27" t="s">
        <v>12</v>
      </c>
      <c r="C20" s="25"/>
      <c r="D20" s="25">
        <f>Damiano!D20+Grace!D20+'Agape Home'!D20+'AGAPE DOS'!D20</f>
        <v>0</v>
      </c>
      <c r="E20" s="25">
        <f>Damiano!E20+Grace!E20+'Agape Home'!E20+'AGAPE DOS'!E20</f>
        <v>0</v>
      </c>
      <c r="F20" s="25">
        <f>Damiano!F20+Grace!F20+'Agape Home'!F20+'AGAPE DOS'!F20</f>
        <v>0</v>
      </c>
      <c r="G20" s="25">
        <f>Damiano!G20+Grace!G20+'Agape Home'!G20+'AGAPE DOS'!G20</f>
        <v>0</v>
      </c>
      <c r="H20" s="25">
        <f>Damiano!H20+Grace!H20+'Agape Home'!H20+'AGAPE DOS'!H20</f>
        <v>0</v>
      </c>
      <c r="I20" s="25">
        <f>Damiano!I20+Grace!I20+'Agape Home'!I20+'AGAPE DOS'!I20</f>
        <v>0</v>
      </c>
      <c r="J20" s="25">
        <f>Damiano!J20+Grace!J20+'Agape Home'!J20+'AGAPE DOS'!J20</f>
        <v>0</v>
      </c>
      <c r="K20" s="25">
        <f>Damiano!K20+Grace!K20+'Agape Home'!K20+'AGAPE DOS'!K20</f>
        <v>0</v>
      </c>
      <c r="L20" s="25">
        <f>Damiano!L20+Grace!L20+'Agape Home'!L20+'AGAPE DOS'!L20</f>
        <v>0</v>
      </c>
      <c r="M20" s="25">
        <f>Damiano!M20+Grace!M20+'Agape Home'!M20+'AGAPE DOS'!M20</f>
        <v>0</v>
      </c>
      <c r="N20" s="25">
        <f>Damiano!N20+Grace!N20+'Agape Home'!N20+'AGAPE DOS'!N20</f>
        <v>0</v>
      </c>
      <c r="O20" s="25">
        <f>Damiano!O20+Grace!O20+'Agape Home'!O20+'AGAPE DOS'!O20</f>
        <v>0</v>
      </c>
      <c r="P20" s="25">
        <f t="shared" ref="P20:P25" si="3">SUM(D20:O20)</f>
        <v>0</v>
      </c>
      <c r="Q20" s="25"/>
    </row>
    <row r="21" spans="1:17" x14ac:dyDescent="0.3">
      <c r="A21" s="26"/>
      <c r="B21" s="27" t="s">
        <v>96</v>
      </c>
      <c r="C21" s="25"/>
      <c r="D21" s="25">
        <f>Damiano!D21+Grace!D21+'Agape Home'!D21+'AGAPE DOS'!D21</f>
        <v>0</v>
      </c>
      <c r="E21" s="25">
        <f>Damiano!E21+Grace!E21+'Agape Home'!E21+'AGAPE DOS'!E21</f>
        <v>0</v>
      </c>
      <c r="F21" s="25">
        <f>Damiano!F21+Grace!F21+'Agape Home'!F21+'AGAPE DOS'!F21</f>
        <v>0</v>
      </c>
      <c r="G21" s="25">
        <f>Damiano!G21+Grace!G21+'Agape Home'!G21+'AGAPE DOS'!G21</f>
        <v>0</v>
      </c>
      <c r="H21" s="25">
        <f>Damiano!H21+Grace!H21+'Agape Home'!H21+'AGAPE DOS'!H21</f>
        <v>0</v>
      </c>
      <c r="I21" s="25">
        <f>Damiano!I21+Grace!I21+'Agape Home'!I21+'AGAPE DOS'!I21</f>
        <v>0</v>
      </c>
      <c r="J21" s="25">
        <f>Damiano!J21+Grace!J21+'Agape Home'!J21+'AGAPE DOS'!J21</f>
        <v>0</v>
      </c>
      <c r="K21" s="25">
        <f>Damiano!K21+Grace!K21+'Agape Home'!K21+'AGAPE DOS'!K21</f>
        <v>0</v>
      </c>
      <c r="L21" s="25">
        <f>Damiano!L21+Grace!L21+'Agape Home'!L21+'AGAPE DOS'!L21</f>
        <v>0</v>
      </c>
      <c r="M21" s="25">
        <f>Damiano!M21+Grace!M21+'Agape Home'!M21+'AGAPE DOS'!M21</f>
        <v>0</v>
      </c>
      <c r="N21" s="25">
        <f>Damiano!N21+Grace!N21+'Agape Home'!N21+'AGAPE DOS'!N21</f>
        <v>0</v>
      </c>
      <c r="O21" s="25">
        <f>Damiano!O21+Grace!O21+'Agape Home'!O21+'AGAPE DOS'!O21</f>
        <v>0</v>
      </c>
      <c r="P21" s="25">
        <f t="shared" si="3"/>
        <v>0</v>
      </c>
      <c r="Q21" s="25"/>
    </row>
    <row r="22" spans="1:17" x14ac:dyDescent="0.3">
      <c r="A22" s="26"/>
      <c r="B22" s="27" t="s">
        <v>97</v>
      </c>
      <c r="C22" s="25"/>
      <c r="D22" s="25">
        <f>Damiano!D22+Grace!D22+'Agape Home'!D22+'AGAPE DOS'!D22</f>
        <v>0</v>
      </c>
      <c r="E22" s="25">
        <f>Damiano!E22+Grace!E22+'Agape Home'!E22+'AGAPE DOS'!E22</f>
        <v>0</v>
      </c>
      <c r="F22" s="25">
        <f>Damiano!F22+Grace!F22+'Agape Home'!F22+'AGAPE DOS'!F22</f>
        <v>0</v>
      </c>
      <c r="G22" s="25">
        <f>Damiano!G22+Grace!G22+'Agape Home'!G22+'AGAPE DOS'!G22</f>
        <v>0</v>
      </c>
      <c r="H22" s="25">
        <f>Damiano!H22+Grace!H22+'Agape Home'!H22+'AGAPE DOS'!H22</f>
        <v>0</v>
      </c>
      <c r="I22" s="25">
        <f>Damiano!I22+Grace!I22+'Agape Home'!I22+'AGAPE DOS'!I22</f>
        <v>0</v>
      </c>
      <c r="J22" s="25">
        <f>Damiano!J22+Grace!J22+'Agape Home'!J22+'AGAPE DOS'!J22</f>
        <v>0</v>
      </c>
      <c r="K22" s="25">
        <f>Damiano!K22+Grace!K22+'Agape Home'!K22+'AGAPE DOS'!K22</f>
        <v>0</v>
      </c>
      <c r="L22" s="25">
        <f>Damiano!L22+Grace!L22+'Agape Home'!L22+'AGAPE DOS'!L22</f>
        <v>0</v>
      </c>
      <c r="M22" s="25">
        <f>Damiano!M22+Grace!M22+'Agape Home'!M22+'AGAPE DOS'!M22</f>
        <v>0</v>
      </c>
      <c r="N22" s="25">
        <f>Damiano!N22+Grace!N22+'Agape Home'!N22+'AGAPE DOS'!N22</f>
        <v>0</v>
      </c>
      <c r="O22" s="25">
        <f>Damiano!O22+Grace!O22+'Agape Home'!O22+'AGAPE DOS'!O22</f>
        <v>0</v>
      </c>
      <c r="P22" s="25">
        <f t="shared" si="3"/>
        <v>0</v>
      </c>
      <c r="Q22" s="25"/>
    </row>
    <row r="23" spans="1:17" x14ac:dyDescent="0.3">
      <c r="A23" s="26"/>
      <c r="B23" s="27" t="s">
        <v>13</v>
      </c>
      <c r="C23" s="25"/>
      <c r="D23" s="25">
        <f>Damiano!D23+Grace!D23+'Agape Home'!D23+'AGAPE DOS'!D23</f>
        <v>0</v>
      </c>
      <c r="E23" s="25">
        <f>Damiano!E23+Grace!E23+'Agape Home'!E23+'AGAPE DOS'!E23</f>
        <v>0</v>
      </c>
      <c r="F23" s="25">
        <f>Damiano!F23+Grace!F23+'Agape Home'!F23+'AGAPE DOS'!F23</f>
        <v>0</v>
      </c>
      <c r="G23" s="25">
        <f>Damiano!G23+Grace!G23+'Agape Home'!G23+'AGAPE DOS'!G23</f>
        <v>0</v>
      </c>
      <c r="H23" s="25">
        <f>Damiano!H23+Grace!H23+'Agape Home'!H23+'AGAPE DOS'!H23</f>
        <v>0</v>
      </c>
      <c r="I23" s="25">
        <f>Damiano!I23+Grace!I23+'Agape Home'!I23+'AGAPE DOS'!I23</f>
        <v>0</v>
      </c>
      <c r="J23" s="25">
        <f>Damiano!J23+Grace!J23+'Agape Home'!J23+'AGAPE DOS'!J23</f>
        <v>0</v>
      </c>
      <c r="K23" s="25">
        <f>Damiano!K23+Grace!K23+'Agape Home'!K23+'AGAPE DOS'!K23</f>
        <v>0</v>
      </c>
      <c r="L23" s="25">
        <f>Damiano!L23+Grace!L23+'Agape Home'!L23+'AGAPE DOS'!L23</f>
        <v>0</v>
      </c>
      <c r="M23" s="25">
        <f>Damiano!M23+Grace!M23+'Agape Home'!M23+'AGAPE DOS'!M23</f>
        <v>0</v>
      </c>
      <c r="N23" s="25">
        <f>Damiano!N23+Grace!N23+'Agape Home'!N23+'AGAPE DOS'!N23</f>
        <v>0</v>
      </c>
      <c r="O23" s="25">
        <f>Damiano!O23+Grace!O23+'Agape Home'!O23+'AGAPE DOS'!O23</f>
        <v>0</v>
      </c>
      <c r="P23" s="25">
        <f t="shared" si="3"/>
        <v>0</v>
      </c>
      <c r="Q23" s="25"/>
    </row>
    <row r="24" spans="1:17" x14ac:dyDescent="0.3">
      <c r="A24" s="26"/>
      <c r="B24" s="27" t="s">
        <v>14</v>
      </c>
      <c r="C24" s="25"/>
      <c r="D24" s="25">
        <f>Damiano!D24+Grace!D24+'Agape Home'!D24+'AGAPE DOS'!D24</f>
        <v>0</v>
      </c>
      <c r="E24" s="25">
        <f>Damiano!E24+Grace!E24+'Agape Home'!E24+'AGAPE DOS'!E24</f>
        <v>0</v>
      </c>
      <c r="F24" s="25">
        <f>Damiano!F24+Grace!F24+'Agape Home'!F24+'AGAPE DOS'!F24</f>
        <v>0</v>
      </c>
      <c r="G24" s="25">
        <f>Damiano!G24+Grace!G24+'Agape Home'!G24+'AGAPE DOS'!G24</f>
        <v>0</v>
      </c>
      <c r="H24" s="25">
        <f>Damiano!H24+Grace!H24+'Agape Home'!H24+'AGAPE DOS'!H24</f>
        <v>0</v>
      </c>
      <c r="I24" s="25">
        <f>Damiano!I24+Grace!I24+'Agape Home'!I24+'AGAPE DOS'!I24</f>
        <v>0</v>
      </c>
      <c r="J24" s="25">
        <f>Damiano!J24+Grace!J24+'Agape Home'!J24+'AGAPE DOS'!J24</f>
        <v>0</v>
      </c>
      <c r="K24" s="25">
        <f>Damiano!K24+Grace!K24+'Agape Home'!K24+'AGAPE DOS'!K24</f>
        <v>0</v>
      </c>
      <c r="L24" s="25">
        <f>Damiano!L24+Grace!L24+'Agape Home'!L24+'AGAPE DOS'!L24</f>
        <v>0</v>
      </c>
      <c r="M24" s="25">
        <f>Damiano!M24+Grace!M24+'Agape Home'!M24+'AGAPE DOS'!M24</f>
        <v>0</v>
      </c>
      <c r="N24" s="25">
        <f>Damiano!N24+Grace!N24+'Agape Home'!N24+'AGAPE DOS'!N24</f>
        <v>0</v>
      </c>
      <c r="O24" s="25">
        <f>Damiano!O24+Grace!O24+'Agape Home'!O24+'AGAPE DOS'!O24</f>
        <v>0</v>
      </c>
      <c r="P24" s="25">
        <f t="shared" si="3"/>
        <v>0</v>
      </c>
      <c r="Q24" s="25"/>
    </row>
    <row r="25" spans="1:17" x14ac:dyDescent="0.3">
      <c r="A25" s="26"/>
      <c r="B25" s="26"/>
      <c r="C25" s="25"/>
      <c r="D25" s="25">
        <f>Damiano!D25+Grace!D25+'Agape Home'!D25+'AGAPE DOS'!D25</f>
        <v>0</v>
      </c>
      <c r="E25" s="25">
        <f>Damiano!E25+Grace!E25+'Agape Home'!E25+'AGAPE DOS'!E25</f>
        <v>0</v>
      </c>
      <c r="F25" s="25">
        <f>Damiano!F25+Grace!F25+'Agape Home'!F25+'AGAPE DOS'!F25</f>
        <v>0</v>
      </c>
      <c r="G25" s="25">
        <f>Damiano!G25+Grace!G25+'Agape Home'!G25+'AGAPE DOS'!G25</f>
        <v>0</v>
      </c>
      <c r="H25" s="25">
        <f>Damiano!H25+Grace!H25+'Agape Home'!H25+'AGAPE DOS'!H25</f>
        <v>0</v>
      </c>
      <c r="I25" s="25">
        <f>Damiano!I25+Grace!I25+'Agape Home'!I25+'AGAPE DOS'!I25</f>
        <v>0</v>
      </c>
      <c r="J25" s="25">
        <f>Damiano!J25+Grace!J25+'Agape Home'!J25+'AGAPE DOS'!J25</f>
        <v>0</v>
      </c>
      <c r="K25" s="25">
        <f>Damiano!K25+Grace!K25+'Agape Home'!K25+'AGAPE DOS'!K25</f>
        <v>0</v>
      </c>
      <c r="L25" s="25">
        <f>Damiano!L25+Grace!L25+'Agape Home'!L25+'AGAPE DOS'!L25</f>
        <v>0</v>
      </c>
      <c r="M25" s="25">
        <f>Damiano!M25+Grace!M25+'Agape Home'!M25+'AGAPE DOS'!M25</f>
        <v>0</v>
      </c>
      <c r="N25" s="25">
        <f>Damiano!N25+Grace!N25+'Agape Home'!N25+'AGAPE DOS'!N25</f>
        <v>0</v>
      </c>
      <c r="O25" s="25">
        <f>Damiano!O25+Grace!O25+'Agape Home'!O25+'AGAPE DOS'!O25</f>
        <v>0</v>
      </c>
      <c r="P25" s="25">
        <f t="shared" si="3"/>
        <v>0</v>
      </c>
      <c r="Q25" s="25"/>
    </row>
    <row r="26" spans="1:17" x14ac:dyDescent="0.3">
      <c r="A26" s="194" t="s">
        <v>15</v>
      </c>
      <c r="B26" s="194"/>
      <c r="C26" s="25"/>
      <c r="D26" s="28">
        <f>SUM(D20:D25)</f>
        <v>0</v>
      </c>
      <c r="E26" s="28">
        <f t="shared" ref="E26:P26" si="4">SUM(E20:E25)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4"/>
        <v>0</v>
      </c>
      <c r="J26" s="28">
        <f t="shared" si="4"/>
        <v>0</v>
      </c>
      <c r="K26" s="28">
        <f t="shared" si="4"/>
        <v>0</v>
      </c>
      <c r="L26" s="28">
        <f t="shared" si="4"/>
        <v>0</v>
      </c>
      <c r="M26" s="28">
        <f t="shared" si="4"/>
        <v>0</v>
      </c>
      <c r="N26" s="28">
        <f t="shared" si="4"/>
        <v>0</v>
      </c>
      <c r="O26" s="28">
        <f t="shared" si="4"/>
        <v>0</v>
      </c>
      <c r="P26" s="28">
        <f t="shared" si="4"/>
        <v>0</v>
      </c>
      <c r="Q26" s="29">
        <f>SUM(P20:P25)-P26</f>
        <v>0</v>
      </c>
    </row>
    <row r="27" spans="1:17" x14ac:dyDescent="0.3">
      <c r="A27" s="194" t="s">
        <v>16</v>
      </c>
      <c r="B27" s="19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3">
      <c r="A28" s="27" t="s">
        <v>17</v>
      </c>
      <c r="B28" s="27" t="s">
        <v>18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>
        <f>SUM(D28:O28)</f>
        <v>0</v>
      </c>
      <c r="Q28" s="25"/>
    </row>
    <row r="29" spans="1:17" x14ac:dyDescent="0.3">
      <c r="A29" s="27" t="s">
        <v>17</v>
      </c>
      <c r="B29" s="27" t="s">
        <v>19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>
        <f>SUM(D29:O29)</f>
        <v>0</v>
      </c>
      <c r="Q29" s="25"/>
    </row>
    <row r="30" spans="1:17" x14ac:dyDescent="0.3">
      <c r="A30" s="27" t="s">
        <v>17</v>
      </c>
      <c r="B30" s="27" t="s">
        <v>20</v>
      </c>
      <c r="C30" s="25"/>
      <c r="D30" s="43">
        <f>Damiano!D30+Grace!D30+'Agape Home'!D30+'AGAPE DOS'!D30</f>
        <v>0</v>
      </c>
      <c r="E30" s="43">
        <f>Damiano!E30+Grace!E30+'Agape Home'!E30+'AGAPE DOS'!E30</f>
        <v>40000</v>
      </c>
      <c r="F30" s="43">
        <f>Damiano!F30+Grace!F30+'Agape Home'!F30+'AGAPE DOS'!F30</f>
        <v>0</v>
      </c>
      <c r="G30" s="43">
        <f>Damiano!G30+Grace!G30+'Agape Home'!G30+'AGAPE DOS'!G30</f>
        <v>0</v>
      </c>
      <c r="H30" s="25"/>
      <c r="I30" s="25"/>
      <c r="J30" s="25"/>
      <c r="K30" s="25"/>
      <c r="L30" s="25"/>
      <c r="M30" s="25"/>
      <c r="N30" s="25"/>
      <c r="O30" s="25"/>
      <c r="P30" s="25">
        <f>SUM(D30:O30)</f>
        <v>40000</v>
      </c>
      <c r="Q30" s="25"/>
    </row>
    <row r="31" spans="1:17" x14ac:dyDescent="0.3">
      <c r="A31" s="27" t="s">
        <v>17</v>
      </c>
      <c r="B31" s="27" t="s">
        <v>21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>
        <f>SUM(D31:O31)</f>
        <v>0</v>
      </c>
      <c r="Q31" s="25"/>
    </row>
    <row r="32" spans="1:17" x14ac:dyDescent="0.3">
      <c r="A32" s="26"/>
      <c r="B32" s="26"/>
      <c r="C32" s="25"/>
      <c r="D32" s="30">
        <f>D12+D18+D26+D28+D29+D30+D31</f>
        <v>81984.771999999997</v>
      </c>
      <c r="E32" s="30">
        <f t="shared" ref="E32:P32" si="5">E12+E18+E26+E28+E29+E30+E31</f>
        <v>115584.508</v>
      </c>
      <c r="F32" s="30">
        <f t="shared" si="5"/>
        <v>82556.691000000006</v>
      </c>
      <c r="G32" s="30">
        <f t="shared" si="5"/>
        <v>80693.19</v>
      </c>
      <c r="H32" s="30">
        <f t="shared" si="5"/>
        <v>83203.118499999997</v>
      </c>
      <c r="I32" s="30">
        <f t="shared" si="5"/>
        <v>81041.668999999994</v>
      </c>
      <c r="J32" s="30">
        <f t="shared" si="5"/>
        <v>83203.118499999997</v>
      </c>
      <c r="K32" s="30">
        <f t="shared" si="5"/>
        <v>83203.118499999997</v>
      </c>
      <c r="L32" s="30">
        <f t="shared" si="5"/>
        <v>81041.668999999994</v>
      </c>
      <c r="M32" s="30">
        <f t="shared" si="5"/>
        <v>83203.118499999997</v>
      </c>
      <c r="N32" s="30">
        <f t="shared" si="5"/>
        <v>81041.668999999994</v>
      </c>
      <c r="O32" s="30">
        <f t="shared" si="5"/>
        <v>83203.118499999997</v>
      </c>
      <c r="P32" s="30">
        <f t="shared" si="5"/>
        <v>1019959.7605</v>
      </c>
      <c r="Q32" s="29">
        <f>SUM(P28:P31)*P32</f>
        <v>40798390420</v>
      </c>
    </row>
    <row r="33" spans="1:17" x14ac:dyDescent="0.3">
      <c r="A33" s="26"/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x14ac:dyDescent="0.3">
      <c r="A34" s="194" t="s">
        <v>22</v>
      </c>
      <c r="B34" s="19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x14ac:dyDescent="0.3">
      <c r="A35" s="26"/>
      <c r="B35" s="27" t="s">
        <v>23</v>
      </c>
      <c r="C35" s="25"/>
      <c r="D35" s="25">
        <f>Damiano!D35+Grace!D35+'Agape Home'!D35+'AGAPE DOS'!D35</f>
        <v>62730.571199999998</v>
      </c>
      <c r="E35" s="25">
        <f>Damiano!E35+Grace!E35+'Agape Home'!E35+'AGAPE DOS'!E35</f>
        <v>62730.571199999998</v>
      </c>
      <c r="F35" s="25">
        <f>Damiano!F35+Grace!F35+'Agape Home'!F35+'AGAPE DOS'!F35</f>
        <v>94095.856799999994</v>
      </c>
      <c r="G35" s="25">
        <f>Damiano!G35+Grace!G35+'Agape Home'!G35+'AGAPE DOS'!G35</f>
        <v>62730.571199999998</v>
      </c>
      <c r="H35" s="25">
        <f>Damiano!H35+Grace!H35+'Agape Home'!H35+'AGAPE DOS'!H35</f>
        <v>62730.571199999998</v>
      </c>
      <c r="I35" s="43">
        <f>Damiano!I35+Grace!I35+'Agape Home'!I35+'AGAPE DOS'!I35</f>
        <v>62730.571199999998</v>
      </c>
      <c r="J35" s="25">
        <f>Damiano!J35+Grace!J35+'Agape Home'!J35+'AGAPE DOS'!J35</f>
        <v>62730.571199999998</v>
      </c>
      <c r="K35" s="25">
        <f>Damiano!K35+Grace!K35+'Agape Home'!K35+'AGAPE DOS'!K35</f>
        <v>94095.856799999994</v>
      </c>
      <c r="L35" s="25">
        <f>Damiano!L35+Grace!L35+'Agape Home'!L35+'AGAPE DOS'!L35</f>
        <v>62730.571199999998</v>
      </c>
      <c r="M35" s="25">
        <f>Damiano!M35+Grace!M35+'Agape Home'!M35+'AGAPE DOS'!M35</f>
        <v>62730.571199999998</v>
      </c>
      <c r="N35" s="25">
        <f>Damiano!N35+Grace!N35+'Agape Home'!N35+'AGAPE DOS'!N35</f>
        <v>62730.571199999998</v>
      </c>
      <c r="O35" s="25">
        <f>Damiano!O35+Grace!O35+'Agape Home'!O35+'AGAPE DOS'!O35</f>
        <v>62730.571199999998</v>
      </c>
      <c r="P35" s="25">
        <f>SUM(D35:O35)</f>
        <v>815497.42559999996</v>
      </c>
      <c r="Q35" s="25"/>
    </row>
    <row r="36" spans="1:17" x14ac:dyDescent="0.3">
      <c r="A36" s="26"/>
      <c r="B36" s="27" t="s">
        <v>24</v>
      </c>
      <c r="C36" s="25"/>
      <c r="D36" s="25">
        <f>Damiano!D36+Grace!D36+'Agape Home'!D36+'AGAPE DOS'!D36</f>
        <v>4610.6969831999995</v>
      </c>
      <c r="E36" s="25">
        <f>Damiano!E36+Grace!E36+'Agape Home'!E36+'AGAPE DOS'!E36</f>
        <v>4610.6969831999995</v>
      </c>
      <c r="F36" s="25">
        <f>Damiano!F36+Grace!F36+'Agape Home'!F36+'AGAPE DOS'!F36</f>
        <v>6916.0454748000002</v>
      </c>
      <c r="G36" s="25">
        <f>Damiano!G36+Grace!G36+'Agape Home'!G36+'AGAPE DOS'!G36</f>
        <v>4610.6969831999995</v>
      </c>
      <c r="H36" s="25">
        <f>Damiano!H36+Grace!H36+'Agape Home'!H36+'AGAPE DOS'!H36</f>
        <v>4610.6969831999995</v>
      </c>
      <c r="I36" s="25">
        <f>Damiano!I36+Grace!I36+'Agape Home'!I36+'AGAPE DOS'!I36</f>
        <v>4610.6969831999995</v>
      </c>
      <c r="J36" s="25">
        <f>Damiano!J36+Grace!J36+'Agape Home'!J36+'AGAPE DOS'!J36</f>
        <v>4610.6969831999995</v>
      </c>
      <c r="K36" s="25">
        <f>Damiano!K36+Grace!K36+'Agape Home'!K36+'AGAPE DOS'!K36</f>
        <v>6916.0454748000002</v>
      </c>
      <c r="L36" s="25">
        <f>Damiano!L36+Grace!L36+'Agape Home'!L36+'AGAPE DOS'!L36</f>
        <v>4610.6969831999995</v>
      </c>
      <c r="M36" s="25">
        <f>Damiano!M36+Grace!M36+'Agape Home'!M36+'AGAPE DOS'!M36</f>
        <v>4610.6969831999995</v>
      </c>
      <c r="N36" s="25">
        <f>Damiano!N36+Grace!N36+'Agape Home'!N36+'AGAPE DOS'!N36</f>
        <v>4610.6969831999995</v>
      </c>
      <c r="O36" s="25">
        <f>Damiano!O36+Grace!O36+'Agape Home'!O36+'AGAPE DOS'!O36</f>
        <v>4610.6969831999995</v>
      </c>
      <c r="P36" s="25">
        <f t="shared" ref="P36:P42" si="6">SUM(D36:O36)</f>
        <v>59939.060781599997</v>
      </c>
      <c r="Q36" s="25"/>
    </row>
    <row r="37" spans="1:17" x14ac:dyDescent="0.3">
      <c r="A37" s="26"/>
      <c r="B37" s="27" t="s">
        <v>25</v>
      </c>
      <c r="C37" s="25"/>
      <c r="D37" s="25">
        <f>Damiano!D37+Grace!D37+'Agape Home'!D37+'AGAPE DOS'!D37</f>
        <v>0</v>
      </c>
      <c r="E37" s="25">
        <f>Damiano!E37+Grace!E37+'Agape Home'!E37+'AGAPE DOS'!E37</f>
        <v>0</v>
      </c>
      <c r="F37" s="25">
        <f>Damiano!F37+Grace!F37+'Agape Home'!F37+'AGAPE DOS'!F37</f>
        <v>0</v>
      </c>
      <c r="G37" s="25">
        <f>Damiano!G37+Grace!G37+'Agape Home'!G37+'AGAPE DOS'!G37</f>
        <v>0</v>
      </c>
      <c r="H37" s="25">
        <f>Damiano!H37+Grace!H37+'Agape Home'!H37+'AGAPE DOS'!H37</f>
        <v>0</v>
      </c>
      <c r="I37" s="25">
        <f>Damiano!I37+Grace!I37+'Agape Home'!I37+'AGAPE DOS'!I37</f>
        <v>0</v>
      </c>
      <c r="J37" s="25">
        <f>Damiano!J37+Grace!J37+'Agape Home'!J37+'AGAPE DOS'!J37</f>
        <v>0</v>
      </c>
      <c r="K37" s="25">
        <f>Damiano!K37+Grace!K37+'Agape Home'!K37+'AGAPE DOS'!K37</f>
        <v>0</v>
      </c>
      <c r="L37" s="25">
        <f>Damiano!L37+Grace!L37+'Agape Home'!L37+'AGAPE DOS'!L37</f>
        <v>0</v>
      </c>
      <c r="M37" s="25">
        <f>Damiano!M37+Grace!M37+'Agape Home'!M37+'AGAPE DOS'!M37</f>
        <v>0</v>
      </c>
      <c r="N37" s="25">
        <f>Damiano!N37+Grace!N37+'Agape Home'!N37+'AGAPE DOS'!N37</f>
        <v>0</v>
      </c>
      <c r="O37" s="25">
        <f>Damiano!O37+Grace!O37+'Agape Home'!O37+'AGAPE DOS'!O37</f>
        <v>0</v>
      </c>
      <c r="P37" s="25">
        <f t="shared" si="6"/>
        <v>0</v>
      </c>
      <c r="Q37" s="25"/>
    </row>
    <row r="38" spans="1:17" x14ac:dyDescent="0.3">
      <c r="A38" s="26"/>
      <c r="B38" s="27" t="s">
        <v>26</v>
      </c>
      <c r="C38" s="25"/>
      <c r="D38" s="25">
        <f>Damiano!D38+Grace!D38+'Agape Home'!D38+'AGAPE DOS'!D38</f>
        <v>7554.0153839039995</v>
      </c>
      <c r="E38" s="25">
        <f>Damiano!E38+Grace!E38+'Agape Home'!E38+'AGAPE DOS'!E38</f>
        <v>7554.0781144752</v>
      </c>
      <c r="F38" s="25">
        <f>Damiano!F38+Grace!F38+'Agape Home'!F38+'AGAPE DOS'!F38</f>
        <v>11331.1171717128</v>
      </c>
      <c r="G38" s="25">
        <f>Damiano!G38+Grace!G38+'Agape Home'!G38+'AGAPE DOS'!G38</f>
        <v>7554.0781144752</v>
      </c>
      <c r="H38" s="25">
        <f>Damiano!H38+Grace!H38+'Agape Home'!H38+'AGAPE DOS'!H38</f>
        <v>7554.0781144752</v>
      </c>
      <c r="I38" s="25">
        <f>Damiano!I38+Grace!I38+'Agape Home'!I38+'AGAPE DOS'!I38</f>
        <v>7554.0781144752</v>
      </c>
      <c r="J38" s="25">
        <f>Damiano!J38+Grace!J38+'Agape Home'!J38+'AGAPE DOS'!J38</f>
        <v>7554.0781144752</v>
      </c>
      <c r="K38" s="25">
        <f>Damiano!K38+Grace!K38+'Agape Home'!K38+'AGAPE DOS'!K38</f>
        <v>11331.1171717128</v>
      </c>
      <c r="L38" s="25">
        <f>Damiano!L38+Grace!L38+'Agape Home'!L38+'AGAPE DOS'!L38</f>
        <v>7554.0781144752</v>
      </c>
      <c r="M38" s="25">
        <f>Damiano!M38+Grace!M38+'Agape Home'!M38+'AGAPE DOS'!M38</f>
        <v>7554.0781144752</v>
      </c>
      <c r="N38" s="25">
        <f>Damiano!N38+Grace!N38+'Agape Home'!N38+'AGAPE DOS'!N38</f>
        <v>7554.0781144752</v>
      </c>
      <c r="O38" s="25">
        <f>Damiano!O38+Grace!O38+'Agape Home'!O38+'AGAPE DOS'!O38</f>
        <v>7554.0781144752</v>
      </c>
      <c r="P38" s="25">
        <f t="shared" si="6"/>
        <v>98202.95275760637</v>
      </c>
      <c r="Q38" s="25"/>
    </row>
    <row r="39" spans="1:17" x14ac:dyDescent="0.3">
      <c r="A39" s="26"/>
      <c r="B39" s="27" t="s">
        <v>27</v>
      </c>
      <c r="C39" s="25"/>
      <c r="D39" s="25">
        <f>Damiano!D39+Grace!D39+'Agape Home'!D39+'AGAPE DOS'!D39</f>
        <v>702.58239744000002</v>
      </c>
      <c r="E39" s="25">
        <f>Damiano!E39+Grace!E39+'Agape Home'!E39+'AGAPE DOS'!E39</f>
        <v>702.58239744000002</v>
      </c>
      <c r="F39" s="25">
        <f>Damiano!F39+Grace!F39+'Agape Home'!F39+'AGAPE DOS'!F39</f>
        <v>1053.87359616</v>
      </c>
      <c r="G39" s="25">
        <f>Damiano!G39+Grace!G39+'Agape Home'!G39+'AGAPE DOS'!G39</f>
        <v>702.58239744000002</v>
      </c>
      <c r="H39" s="25">
        <f>Damiano!H39+Grace!H39+'Agape Home'!H39+'AGAPE DOS'!H39</f>
        <v>702.58239744000002</v>
      </c>
      <c r="I39" s="25">
        <f>Damiano!I39+Grace!I39+'Agape Home'!I39+'AGAPE DOS'!I39</f>
        <v>702.58239744000002</v>
      </c>
      <c r="J39" s="25">
        <f>Damiano!J39+Grace!J39+'Agape Home'!J39+'AGAPE DOS'!J39</f>
        <v>702.58239744000002</v>
      </c>
      <c r="K39" s="25">
        <f>Damiano!K39+Grace!K39+'Agape Home'!K39+'AGAPE DOS'!K39</f>
        <v>1053.87359616</v>
      </c>
      <c r="L39" s="25">
        <f>Damiano!L39+Grace!L39+'Agape Home'!L39+'AGAPE DOS'!L39</f>
        <v>702.58239744000002</v>
      </c>
      <c r="M39" s="25">
        <f>Damiano!M39+Grace!M39+'Agape Home'!M39+'AGAPE DOS'!M39</f>
        <v>702.58239744000002</v>
      </c>
      <c r="N39" s="25">
        <f>Damiano!N39+Grace!N39+'Agape Home'!N39+'AGAPE DOS'!N39</f>
        <v>702.58239744000002</v>
      </c>
      <c r="O39" s="25">
        <f>Damiano!O39+Grace!O39+'Agape Home'!O39+'AGAPE DOS'!O39</f>
        <v>702.58239744000002</v>
      </c>
      <c r="P39" s="25">
        <f t="shared" si="6"/>
        <v>9133.5711667200012</v>
      </c>
      <c r="Q39" s="25"/>
    </row>
    <row r="40" spans="1:17" x14ac:dyDescent="0.3">
      <c r="A40" s="26"/>
      <c r="B40" s="27" t="s">
        <v>28</v>
      </c>
      <c r="C40" s="25"/>
      <c r="D40" s="25">
        <f>Damiano!D40+Grace!D40+'Agape Home'!D40+'AGAPE DOS'!D40</f>
        <v>1756.4559936000001</v>
      </c>
      <c r="E40" s="25">
        <f>Damiano!E40+Grace!E40+'Agape Home'!E40+'AGAPE DOS'!E40</f>
        <v>1756.4559936000001</v>
      </c>
      <c r="F40" s="25">
        <f>Damiano!F40+Grace!F40+'Agape Home'!F40+'AGAPE DOS'!F40</f>
        <v>2634.6839903999999</v>
      </c>
      <c r="G40" s="25">
        <f>Damiano!G40+Grace!G40+'Agape Home'!G40+'AGAPE DOS'!G40</f>
        <v>1756.4559936000001</v>
      </c>
      <c r="H40" s="25">
        <f>Damiano!H40+Grace!H40+'Agape Home'!H40+'AGAPE DOS'!H40</f>
        <v>1756.4559936000001</v>
      </c>
      <c r="I40" s="25">
        <f>Damiano!I40+Grace!I40+'Agape Home'!I40+'AGAPE DOS'!I40</f>
        <v>1756.4559936000001</v>
      </c>
      <c r="J40" s="25">
        <f>Damiano!J40+Grace!J40+'Agape Home'!J40+'AGAPE DOS'!J40</f>
        <v>1756.4559936000001</v>
      </c>
      <c r="K40" s="25">
        <f>Damiano!K40+Grace!K40+'Agape Home'!K40+'AGAPE DOS'!K40</f>
        <v>2634.6839903999999</v>
      </c>
      <c r="L40" s="25">
        <f>Damiano!L40+Grace!L40+'Agape Home'!L40+'AGAPE DOS'!L40</f>
        <v>1756.4559936000001</v>
      </c>
      <c r="M40" s="25">
        <f>Damiano!M40+Grace!M40+'Agape Home'!M40+'AGAPE DOS'!M40</f>
        <v>1756.4559936000001</v>
      </c>
      <c r="N40" s="25">
        <f>Damiano!N40+Grace!N40+'Agape Home'!N40+'AGAPE DOS'!N40</f>
        <v>1756.4559936000001</v>
      </c>
      <c r="O40" s="25">
        <f>Damiano!O40+Grace!O40+'Agape Home'!O40+'AGAPE DOS'!O40</f>
        <v>1756.4559936000001</v>
      </c>
      <c r="P40" s="25">
        <f t="shared" si="6"/>
        <v>22833.927916800003</v>
      </c>
      <c r="Q40" s="25"/>
    </row>
    <row r="41" spans="1:17" x14ac:dyDescent="0.3">
      <c r="A41" s="26"/>
      <c r="B41" s="27" t="s">
        <v>29</v>
      </c>
      <c r="C41" s="25"/>
      <c r="D41" s="25">
        <f>Damiano!D41+Grace!D41+'Agape Home'!D41+'AGAPE DOS'!D41</f>
        <v>861.29074257599996</v>
      </c>
      <c r="E41" s="25">
        <f>Damiano!E41+Grace!E41+'Agape Home'!E41+'AGAPE DOS'!E41</f>
        <v>861.29074257599996</v>
      </c>
      <c r="F41" s="25">
        <f>Damiano!F41+Grace!F41+'Agape Home'!F41+'AGAPE DOS'!F41</f>
        <v>1291.9361138639999</v>
      </c>
      <c r="G41" s="25">
        <f>Damiano!G41+Grace!G41+'Agape Home'!G41+'AGAPE DOS'!G41</f>
        <v>861.29074257599996</v>
      </c>
      <c r="H41" s="25">
        <f>Damiano!H41+Grace!H41+'Agape Home'!H41+'AGAPE DOS'!H41</f>
        <v>861.29074257599996</v>
      </c>
      <c r="I41" s="25">
        <f>Damiano!I41+Grace!I41+'Agape Home'!I41+'AGAPE DOS'!I41</f>
        <v>861.29074257599996</v>
      </c>
      <c r="J41" s="25">
        <f>Damiano!J41+Grace!J41+'Agape Home'!J41+'AGAPE DOS'!J41</f>
        <v>861.29074257599996</v>
      </c>
      <c r="K41" s="25">
        <f>Damiano!K41+Grace!K41+'Agape Home'!K41+'AGAPE DOS'!K41</f>
        <v>1291.9361138639999</v>
      </c>
      <c r="L41" s="25">
        <f>Damiano!L41+Grace!L41+'Agape Home'!L41+'AGAPE DOS'!L41</f>
        <v>861.29074257599996</v>
      </c>
      <c r="M41" s="25">
        <f>Damiano!M41+Grace!M41+'Agape Home'!M41+'AGAPE DOS'!M41</f>
        <v>861.29074257599996</v>
      </c>
      <c r="N41" s="25">
        <f>Damiano!N41+Grace!N41+'Agape Home'!N41+'AGAPE DOS'!N41</f>
        <v>861.29074257599996</v>
      </c>
      <c r="O41" s="25">
        <f>Damiano!O41+Grace!O41+'Agape Home'!O41+'AGAPE DOS'!O41</f>
        <v>861.29074257599996</v>
      </c>
      <c r="P41" s="25">
        <f t="shared" si="6"/>
        <v>11196.779653488002</v>
      </c>
      <c r="Q41" s="25"/>
    </row>
    <row r="42" spans="1:17" x14ac:dyDescent="0.3">
      <c r="A42" s="26"/>
      <c r="B42" s="27" t="s">
        <v>30</v>
      </c>
      <c r="C42" s="25"/>
      <c r="D42" s="25">
        <f>Damiano!D42+Grace!D42+'Agape Home'!D42+'AGAPE DOS'!D42</f>
        <v>0</v>
      </c>
      <c r="E42" s="25">
        <f>Damiano!E42+Grace!E42+'Agape Home'!E42+'AGAPE DOS'!E42</f>
        <v>0</v>
      </c>
      <c r="F42" s="25">
        <f>Damiano!F42+Grace!F42+'Agape Home'!F42+'AGAPE DOS'!F42</f>
        <v>0</v>
      </c>
      <c r="G42" s="25">
        <f>Damiano!G42+Grace!G42+'Agape Home'!G42+'AGAPE DOS'!G42</f>
        <v>0</v>
      </c>
      <c r="H42" s="25">
        <f>Damiano!H42+Grace!H42+'Agape Home'!H42+'AGAPE DOS'!H42</f>
        <v>0</v>
      </c>
      <c r="I42" s="25">
        <f>Damiano!I42+Grace!I42+'Agape Home'!I42+'AGAPE DOS'!I42</f>
        <v>0</v>
      </c>
      <c r="J42" s="25">
        <f>Damiano!J42+Grace!J42+'Agape Home'!J42+'AGAPE DOS'!J42</f>
        <v>0</v>
      </c>
      <c r="K42" s="25">
        <f>Damiano!K42+Grace!K42+'Agape Home'!K42+'AGAPE DOS'!K42</f>
        <v>0</v>
      </c>
      <c r="L42" s="25">
        <f>Damiano!L42+Grace!L42+'Agape Home'!L42+'AGAPE DOS'!L42</f>
        <v>0</v>
      </c>
      <c r="M42" s="25">
        <f>Damiano!M42+Grace!M42+'Agape Home'!M42+'AGAPE DOS'!M42</f>
        <v>0</v>
      </c>
      <c r="N42" s="25">
        <f>Damiano!N42+Grace!N42+'Agape Home'!N42+'AGAPE DOS'!N42</f>
        <v>0</v>
      </c>
      <c r="O42" s="25">
        <f>Damiano!O42+Grace!O42+'Agape Home'!O42+'AGAPE DOS'!O42</f>
        <v>0</v>
      </c>
      <c r="P42" s="25">
        <f t="shared" si="6"/>
        <v>0</v>
      </c>
      <c r="Q42" s="25"/>
    </row>
    <row r="43" spans="1:17" x14ac:dyDescent="0.3">
      <c r="A43" s="194" t="s">
        <v>31</v>
      </c>
      <c r="B43" s="194"/>
      <c r="C43" s="25"/>
      <c r="D43" s="28">
        <f>SUM(D35:D42)</f>
        <v>78215.612700719998</v>
      </c>
      <c r="E43" s="28">
        <f t="shared" ref="E43:P43" si="7">SUM(E35:E42)</f>
        <v>78215.675431291194</v>
      </c>
      <c r="F43" s="28">
        <f t="shared" si="7"/>
        <v>117323.51314693679</v>
      </c>
      <c r="G43" s="28">
        <f t="shared" si="7"/>
        <v>78215.675431291194</v>
      </c>
      <c r="H43" s="28">
        <f t="shared" si="7"/>
        <v>78215.675431291194</v>
      </c>
      <c r="I43" s="28">
        <f t="shared" si="7"/>
        <v>78215.675431291194</v>
      </c>
      <c r="J43" s="28">
        <f t="shared" si="7"/>
        <v>78215.675431291194</v>
      </c>
      <c r="K43" s="28">
        <f t="shared" si="7"/>
        <v>117323.51314693679</v>
      </c>
      <c r="L43" s="28">
        <f t="shared" si="7"/>
        <v>78215.675431291194</v>
      </c>
      <c r="M43" s="28">
        <f t="shared" si="7"/>
        <v>78215.675431291194</v>
      </c>
      <c r="N43" s="28">
        <f t="shared" si="7"/>
        <v>78215.675431291194</v>
      </c>
      <c r="O43" s="28">
        <f t="shared" si="7"/>
        <v>78215.675431291194</v>
      </c>
      <c r="P43" s="28">
        <f t="shared" si="7"/>
        <v>1016803.7178762143</v>
      </c>
      <c r="Q43" s="29">
        <f>SUM(P35:P42)</f>
        <v>1016803.7178762143</v>
      </c>
    </row>
    <row r="44" spans="1:17" x14ac:dyDescent="0.3">
      <c r="A44" s="194" t="s">
        <v>32</v>
      </c>
      <c r="B44" s="19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x14ac:dyDescent="0.3">
      <c r="A45" s="26"/>
      <c r="B45" s="27" t="s">
        <v>33</v>
      </c>
      <c r="C45" s="25"/>
      <c r="D45" s="25">
        <f>Damiano!D45+Grace!D45+'Agape Home'!D45+'AGAPE DOS'!D45</f>
        <v>4100</v>
      </c>
      <c r="E45" s="25">
        <f>Damiano!E45+Grace!E45+'Agape Home'!E45+'AGAPE DOS'!E45</f>
        <v>4100</v>
      </c>
      <c r="F45" s="25">
        <f>Damiano!F45+Grace!F45+'Agape Home'!F45+'AGAPE DOS'!F45</f>
        <v>4100</v>
      </c>
      <c r="G45" s="25">
        <f>Damiano!G45+Grace!G45+'Agape Home'!G45+'AGAPE DOS'!G45</f>
        <v>4100</v>
      </c>
      <c r="H45" s="25">
        <f>Damiano!H45+Grace!H45+'Agape Home'!H45+'AGAPE DOS'!H45</f>
        <v>4100</v>
      </c>
      <c r="I45" s="25">
        <f>Damiano!I45+Grace!I45+'Agape Home'!I45+'AGAPE DOS'!I45</f>
        <v>4100</v>
      </c>
      <c r="J45" s="25">
        <f>Damiano!J45+Grace!J45+'Agape Home'!J45+'AGAPE DOS'!J45</f>
        <v>4100</v>
      </c>
      <c r="K45" s="25">
        <f>Damiano!K45+Grace!K45+'Agape Home'!K45+'AGAPE DOS'!K45</f>
        <v>4100</v>
      </c>
      <c r="L45" s="25">
        <f>Damiano!L45+Grace!L45+'Agape Home'!L45+'AGAPE DOS'!L45</f>
        <v>4100</v>
      </c>
      <c r="M45" s="25">
        <f>Damiano!M45+Grace!M45+'Agape Home'!M45+'AGAPE DOS'!M45</f>
        <v>4100</v>
      </c>
      <c r="N45" s="25">
        <f>Damiano!N45+Grace!N45+'Agape Home'!N45+'AGAPE DOS'!N45</f>
        <v>4100</v>
      </c>
      <c r="O45" s="25">
        <f>Damiano!O45+Grace!O45+'Agape Home'!O45+'AGAPE DOS'!O45</f>
        <v>4100</v>
      </c>
      <c r="P45" s="25">
        <f t="shared" ref="P45:P52" si="8">SUM(D45:O45)</f>
        <v>49200</v>
      </c>
      <c r="Q45" s="25"/>
    </row>
    <row r="46" spans="1:17" x14ac:dyDescent="0.3">
      <c r="A46" s="26"/>
      <c r="B46" s="27" t="s">
        <v>34</v>
      </c>
      <c r="C46" s="25"/>
      <c r="D46" s="25">
        <f>Damiano!D46+Grace!D46+'Agape Home'!D46+'AGAPE DOS'!D46</f>
        <v>775</v>
      </c>
      <c r="E46" s="25">
        <f>Damiano!E46+Grace!E46+'Agape Home'!E46+'AGAPE DOS'!E46</f>
        <v>775</v>
      </c>
      <c r="F46" s="25">
        <f>Damiano!F46+Grace!F46+'Agape Home'!F46+'AGAPE DOS'!F46</f>
        <v>775</v>
      </c>
      <c r="G46" s="25">
        <f>Damiano!G46+Grace!G46+'Agape Home'!G46+'AGAPE DOS'!G46</f>
        <v>775</v>
      </c>
      <c r="H46" s="25">
        <f>Damiano!H46+Grace!H46+'Agape Home'!H46+'AGAPE DOS'!H46</f>
        <v>775</v>
      </c>
      <c r="I46" s="25">
        <f>Damiano!I46+Grace!I46+'Agape Home'!I46+'AGAPE DOS'!I46</f>
        <v>775</v>
      </c>
      <c r="J46" s="25">
        <f>Damiano!J46+Grace!J46+'Agape Home'!J46+'AGAPE DOS'!J46</f>
        <v>775</v>
      </c>
      <c r="K46" s="25">
        <f>Damiano!K46+Grace!K46+'Agape Home'!K46+'AGAPE DOS'!K46</f>
        <v>775</v>
      </c>
      <c r="L46" s="25">
        <f>Damiano!L46+Grace!L46+'Agape Home'!L46+'AGAPE DOS'!L46</f>
        <v>775</v>
      </c>
      <c r="M46" s="25">
        <f>Damiano!M46+Grace!M46+'Agape Home'!M46+'AGAPE DOS'!M46</f>
        <v>775</v>
      </c>
      <c r="N46" s="25">
        <f>Damiano!N46+Grace!N46+'Agape Home'!N46+'AGAPE DOS'!N46</f>
        <v>775</v>
      </c>
      <c r="O46" s="25">
        <f>Damiano!O46+Grace!O46+'Agape Home'!O46+'AGAPE DOS'!O46</f>
        <v>775</v>
      </c>
      <c r="P46" s="25">
        <f t="shared" si="8"/>
        <v>9300</v>
      </c>
      <c r="Q46" s="25"/>
    </row>
    <row r="47" spans="1:17" x14ac:dyDescent="0.3">
      <c r="A47" s="26"/>
      <c r="B47" s="27" t="s">
        <v>35</v>
      </c>
      <c r="C47" s="25"/>
      <c r="D47" s="25">
        <f>Damiano!D47+Grace!D47+'Agape Home'!D47+'AGAPE DOS'!D47</f>
        <v>300</v>
      </c>
      <c r="E47" s="25">
        <f>Damiano!E47+Grace!E47+'Agape Home'!E47+'AGAPE DOS'!E47</f>
        <v>300</v>
      </c>
      <c r="F47" s="25">
        <f>Damiano!F47+Grace!F47+'Agape Home'!F47+'AGAPE DOS'!F47</f>
        <v>300</v>
      </c>
      <c r="G47" s="25">
        <f>Damiano!G47+Grace!G47+'Agape Home'!G47+'AGAPE DOS'!G47</f>
        <v>300</v>
      </c>
      <c r="H47" s="25">
        <f>Damiano!H47+Grace!H47+'Agape Home'!H47+'AGAPE DOS'!H47</f>
        <v>300</v>
      </c>
      <c r="I47" s="25">
        <f>Damiano!I47+Grace!I47+'Agape Home'!I47+'AGAPE DOS'!I47</f>
        <v>300</v>
      </c>
      <c r="J47" s="25">
        <f>Damiano!J47+Grace!J47+'Agape Home'!J47+'AGAPE DOS'!J47</f>
        <v>300</v>
      </c>
      <c r="K47" s="25">
        <f>Damiano!K47+Grace!K47+'Agape Home'!K47+'AGAPE DOS'!K47</f>
        <v>300</v>
      </c>
      <c r="L47" s="25">
        <f>Damiano!L47+Grace!L47+'Agape Home'!L47+'AGAPE DOS'!L47</f>
        <v>300</v>
      </c>
      <c r="M47" s="25">
        <f>Damiano!M47+Grace!M47+'Agape Home'!M47+'AGAPE DOS'!M47</f>
        <v>300</v>
      </c>
      <c r="N47" s="25">
        <f>Damiano!N47+Grace!N47+'Agape Home'!N47+'AGAPE DOS'!N47</f>
        <v>300</v>
      </c>
      <c r="O47" s="25">
        <f>Damiano!O47+Grace!O47+'Agape Home'!O47+'AGAPE DOS'!O47</f>
        <v>300</v>
      </c>
      <c r="P47" s="25">
        <f t="shared" si="8"/>
        <v>3600</v>
      </c>
      <c r="Q47" s="25"/>
    </row>
    <row r="48" spans="1:17" x14ac:dyDescent="0.3">
      <c r="A48" s="26"/>
      <c r="B48" s="27" t="s">
        <v>36</v>
      </c>
      <c r="C48" s="25"/>
      <c r="D48" s="25">
        <f>Damiano!D48+Grace!D48+'Agape Home'!D48+'AGAPE DOS'!D48</f>
        <v>150</v>
      </c>
      <c r="E48" s="25">
        <f>Damiano!E48+Grace!E48+'Agape Home'!E48+'AGAPE DOS'!E48</f>
        <v>150</v>
      </c>
      <c r="F48" s="25">
        <f>Damiano!F48+Grace!F48+'Agape Home'!F48+'AGAPE DOS'!F48</f>
        <v>150</v>
      </c>
      <c r="G48" s="25">
        <f>Damiano!G48+Grace!G48+'Agape Home'!G48+'AGAPE DOS'!G48</f>
        <v>150</v>
      </c>
      <c r="H48" s="25">
        <f>Damiano!H48+Grace!H48+'Agape Home'!H48+'AGAPE DOS'!H48</f>
        <v>150</v>
      </c>
      <c r="I48" s="25">
        <f>Damiano!I48+Grace!I48+'Agape Home'!I48+'AGAPE DOS'!I48</f>
        <v>150</v>
      </c>
      <c r="J48" s="25">
        <f>Damiano!J48+Grace!J48+'Agape Home'!J48+'AGAPE DOS'!J48</f>
        <v>150</v>
      </c>
      <c r="K48" s="25">
        <f>Damiano!K48+Grace!K48+'Agape Home'!K48+'AGAPE DOS'!K48</f>
        <v>150</v>
      </c>
      <c r="L48" s="25">
        <f>Damiano!L48+Grace!L48+'Agape Home'!L48+'AGAPE DOS'!L48</f>
        <v>150</v>
      </c>
      <c r="M48" s="25">
        <f>Damiano!M48+Grace!M48+'Agape Home'!M48+'AGAPE DOS'!M48</f>
        <v>150</v>
      </c>
      <c r="N48" s="25">
        <f>Damiano!N48+Grace!N48+'Agape Home'!N48+'AGAPE DOS'!N48</f>
        <v>150</v>
      </c>
      <c r="O48" s="25">
        <f>Damiano!O48+Grace!O48+'Agape Home'!O48+'AGAPE DOS'!O48</f>
        <v>150</v>
      </c>
      <c r="P48" s="25">
        <f t="shared" si="8"/>
        <v>1800</v>
      </c>
      <c r="Q48" s="25"/>
    </row>
    <row r="49" spans="1:17" x14ac:dyDescent="0.3">
      <c r="A49" s="26"/>
      <c r="B49" s="27" t="s">
        <v>37</v>
      </c>
      <c r="C49" s="25"/>
      <c r="D49" s="25">
        <f>Damiano!D49+Grace!D49+'Agape Home'!D49+'AGAPE DOS'!D49</f>
        <v>90</v>
      </c>
      <c r="E49" s="25">
        <f>Damiano!E49+Grace!E49+'Agape Home'!E49+'AGAPE DOS'!E49</f>
        <v>90</v>
      </c>
      <c r="F49" s="25">
        <f>Damiano!F49+Grace!F49+'Agape Home'!F49+'AGAPE DOS'!F49</f>
        <v>90</v>
      </c>
      <c r="G49" s="25">
        <f>Damiano!G49+Grace!G49+'Agape Home'!G49+'AGAPE DOS'!G49</f>
        <v>90</v>
      </c>
      <c r="H49" s="25">
        <f>Damiano!H49+Grace!H49+'Agape Home'!H49+'AGAPE DOS'!H49</f>
        <v>90</v>
      </c>
      <c r="I49" s="25">
        <f>Damiano!I49+Grace!I49+'Agape Home'!I49+'AGAPE DOS'!I49</f>
        <v>90</v>
      </c>
      <c r="J49" s="25">
        <f>Damiano!J49+Grace!J49+'Agape Home'!J49+'AGAPE DOS'!J49</f>
        <v>90</v>
      </c>
      <c r="K49" s="25">
        <f>Damiano!K49+Grace!K49+'Agape Home'!K49+'AGAPE DOS'!K49</f>
        <v>90</v>
      </c>
      <c r="L49" s="25">
        <f>Damiano!L49+Grace!L49+'Agape Home'!L49+'AGAPE DOS'!L49</f>
        <v>90</v>
      </c>
      <c r="M49" s="25">
        <f>Damiano!M49+Grace!M49+'Agape Home'!M49+'AGAPE DOS'!M49</f>
        <v>90</v>
      </c>
      <c r="N49" s="25">
        <f>Damiano!N49+Grace!N49+'Agape Home'!N49+'AGAPE DOS'!N49</f>
        <v>90</v>
      </c>
      <c r="O49" s="25">
        <f>Damiano!O49+Grace!O49+'Agape Home'!O49+'AGAPE DOS'!O49</f>
        <v>90</v>
      </c>
      <c r="P49" s="25">
        <f t="shared" si="8"/>
        <v>1080</v>
      </c>
      <c r="Q49" s="25"/>
    </row>
    <row r="50" spans="1:17" s="42" customFormat="1" x14ac:dyDescent="0.3">
      <c r="A50" s="26"/>
      <c r="B50" s="92" t="s">
        <v>194</v>
      </c>
      <c r="C50" s="43"/>
      <c r="D50" s="43">
        <f>Damiano!D50+Grace!D50+'Agape Home'!D50+'AGAPE DOS'!D50</f>
        <v>375</v>
      </c>
      <c r="E50" s="43">
        <f>Damiano!E50+Grace!E50+'Agape Home'!E50+'AGAPE DOS'!E50</f>
        <v>375</v>
      </c>
      <c r="F50" s="43">
        <f>Damiano!F50+Grace!F50+'Agape Home'!F50+'AGAPE DOS'!F50</f>
        <v>375</v>
      </c>
      <c r="G50" s="43">
        <f>Damiano!G50+Grace!G50+'Agape Home'!G50+'AGAPE DOS'!G50</f>
        <v>375</v>
      </c>
      <c r="H50" s="43">
        <f>Damiano!H50+Grace!H50+'Agape Home'!H50+'AGAPE DOS'!H50</f>
        <v>375</v>
      </c>
      <c r="I50" s="43">
        <f>Damiano!I50+Grace!I50+'Agape Home'!I50+'AGAPE DOS'!I50</f>
        <v>375</v>
      </c>
      <c r="J50" s="43">
        <f>Damiano!J50+Grace!J50+'Agape Home'!J50+'AGAPE DOS'!J50</f>
        <v>375</v>
      </c>
      <c r="K50" s="43">
        <f>Damiano!K50+Grace!K50+'Agape Home'!K50+'AGAPE DOS'!K50</f>
        <v>375</v>
      </c>
      <c r="L50" s="43">
        <f>Damiano!L50+Grace!L50+'Agape Home'!L50+'AGAPE DOS'!L50</f>
        <v>375</v>
      </c>
      <c r="M50" s="43">
        <f>Damiano!M50+Grace!M50+'Agape Home'!M50+'AGAPE DOS'!M50</f>
        <v>375</v>
      </c>
      <c r="N50" s="43">
        <f>Damiano!N50+Grace!N50+'Agape Home'!N50+'AGAPE DOS'!N50</f>
        <v>375</v>
      </c>
      <c r="O50" s="43">
        <f>Damiano!O50+Grace!O50+'Agape Home'!O50+'AGAPE DOS'!O50</f>
        <v>375</v>
      </c>
      <c r="P50" s="43">
        <f>SUM(D50:O50)</f>
        <v>4500</v>
      </c>
      <c r="Q50" s="43"/>
    </row>
    <row r="51" spans="1:17" x14ac:dyDescent="0.3">
      <c r="A51" s="26"/>
      <c r="B51" s="27" t="s">
        <v>38</v>
      </c>
      <c r="C51" s="25"/>
      <c r="D51" s="25">
        <f>Damiano!D51+Grace!D51+'Agape Home'!D51+'AGAPE DOS'!D51</f>
        <v>270</v>
      </c>
      <c r="E51" s="25">
        <f>Damiano!E51+Grace!E51+'Agape Home'!E51+'AGAPE DOS'!E51</f>
        <v>270</v>
      </c>
      <c r="F51" s="25">
        <f>Damiano!F51+Grace!F51+'Agape Home'!F51+'AGAPE DOS'!F51</f>
        <v>270</v>
      </c>
      <c r="G51" s="25">
        <f>Damiano!G51+Grace!G51+'Agape Home'!G51+'AGAPE DOS'!G51</f>
        <v>270</v>
      </c>
      <c r="H51" s="25">
        <f>Damiano!H51+Grace!H51+'Agape Home'!H51+'AGAPE DOS'!H51</f>
        <v>270</v>
      </c>
      <c r="I51" s="25">
        <f>Damiano!I51+Grace!I51+'Agape Home'!I51+'AGAPE DOS'!I51</f>
        <v>270</v>
      </c>
      <c r="J51" s="25">
        <f>Damiano!J51+Grace!J51+'Agape Home'!J51+'AGAPE DOS'!J51</f>
        <v>270</v>
      </c>
      <c r="K51" s="25">
        <f>Damiano!K51+Grace!K51+'Agape Home'!K51+'AGAPE DOS'!K51</f>
        <v>270</v>
      </c>
      <c r="L51" s="25">
        <f>Damiano!L51+Grace!L51+'Agape Home'!L51+'AGAPE DOS'!L51</f>
        <v>270</v>
      </c>
      <c r="M51" s="25">
        <f>Damiano!M51+Grace!M51+'Agape Home'!M51+'AGAPE DOS'!M51</f>
        <v>270</v>
      </c>
      <c r="N51" s="25">
        <f>Damiano!N51+Grace!N51+'Agape Home'!N51+'AGAPE DOS'!N51</f>
        <v>270</v>
      </c>
      <c r="O51" s="25">
        <f>Damiano!O51+Grace!O51+'Agape Home'!O51+'AGAPE DOS'!O51</f>
        <v>270</v>
      </c>
      <c r="P51" s="25">
        <f t="shared" si="8"/>
        <v>3240</v>
      </c>
      <c r="Q51" s="25"/>
    </row>
    <row r="52" spans="1:17" x14ac:dyDescent="0.3">
      <c r="A52" s="26"/>
      <c r="B52" s="27" t="s">
        <v>39</v>
      </c>
      <c r="C52" s="25"/>
      <c r="D52" s="25">
        <f>Damiano!D52+Grace!D52+'Agape Home'!D52+'AGAPE DOS'!D52</f>
        <v>250</v>
      </c>
      <c r="E52" s="25">
        <f>Damiano!E52+Grace!E52+'Agape Home'!E52+'AGAPE DOS'!E52</f>
        <v>250</v>
      </c>
      <c r="F52" s="25">
        <f>Damiano!F52+Grace!F52+'Agape Home'!F52+'AGAPE DOS'!F52</f>
        <v>250</v>
      </c>
      <c r="G52" s="25">
        <f>Damiano!G52+Grace!G52+'Agape Home'!G52+'AGAPE DOS'!G52</f>
        <v>250</v>
      </c>
      <c r="H52" s="25">
        <f>Damiano!H52+Grace!H52+'Agape Home'!H52+'AGAPE DOS'!H52</f>
        <v>250</v>
      </c>
      <c r="I52" s="25">
        <f>Damiano!I52+Grace!I52+'Agape Home'!I52+'AGAPE DOS'!I52</f>
        <v>250</v>
      </c>
      <c r="J52" s="25">
        <f>Damiano!J52+Grace!J52+'Agape Home'!J52+'AGAPE DOS'!J52</f>
        <v>250</v>
      </c>
      <c r="K52" s="25">
        <f>Damiano!K52+Grace!K52+'Agape Home'!K52+'AGAPE DOS'!K52</f>
        <v>250</v>
      </c>
      <c r="L52" s="25">
        <f>Damiano!L52+Grace!L52+'Agape Home'!L52+'AGAPE DOS'!L52</f>
        <v>250</v>
      </c>
      <c r="M52" s="25">
        <f>Damiano!M52+Grace!M52+'Agape Home'!M52+'AGAPE DOS'!M52</f>
        <v>250</v>
      </c>
      <c r="N52" s="25">
        <f>Damiano!N52+Grace!N52+'Agape Home'!N52+'AGAPE DOS'!N52</f>
        <v>250</v>
      </c>
      <c r="O52" s="25">
        <f>Damiano!O52+Grace!O52+'Agape Home'!O52+'AGAPE DOS'!O52</f>
        <v>250</v>
      </c>
      <c r="P52" s="25">
        <f t="shared" si="8"/>
        <v>3000</v>
      </c>
      <c r="Q52" s="25"/>
    </row>
    <row r="53" spans="1:17" x14ac:dyDescent="0.3">
      <c r="A53" s="194" t="s">
        <v>40</v>
      </c>
      <c r="B53" s="194"/>
      <c r="C53" s="25"/>
      <c r="D53" s="28">
        <f>SUM(D45:D52)</f>
        <v>6310</v>
      </c>
      <c r="E53" s="28">
        <f t="shared" ref="E53:P53" si="9">SUM(E45:E52)</f>
        <v>6310</v>
      </c>
      <c r="F53" s="28">
        <f t="shared" si="9"/>
        <v>6310</v>
      </c>
      <c r="G53" s="28">
        <f t="shared" si="9"/>
        <v>6310</v>
      </c>
      <c r="H53" s="28">
        <f t="shared" si="9"/>
        <v>6310</v>
      </c>
      <c r="I53" s="28">
        <f t="shared" si="9"/>
        <v>6310</v>
      </c>
      <c r="J53" s="28">
        <f t="shared" si="9"/>
        <v>6310</v>
      </c>
      <c r="K53" s="28">
        <f t="shared" si="9"/>
        <v>6310</v>
      </c>
      <c r="L53" s="28">
        <f t="shared" si="9"/>
        <v>6310</v>
      </c>
      <c r="M53" s="28">
        <f t="shared" si="9"/>
        <v>6310</v>
      </c>
      <c r="N53" s="28">
        <f t="shared" si="9"/>
        <v>6310</v>
      </c>
      <c r="O53" s="28">
        <f t="shared" si="9"/>
        <v>6310</v>
      </c>
      <c r="P53" s="28">
        <f t="shared" si="9"/>
        <v>75720</v>
      </c>
      <c r="Q53" s="29">
        <f>SUM(P52)-P53</f>
        <v>-72720</v>
      </c>
    </row>
    <row r="54" spans="1:17" x14ac:dyDescent="0.3">
      <c r="A54" s="194" t="s">
        <v>41</v>
      </c>
      <c r="B54" s="19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x14ac:dyDescent="0.3">
      <c r="A55" s="26"/>
      <c r="B55" s="27" t="s">
        <v>42</v>
      </c>
      <c r="C55" s="25"/>
      <c r="D55" s="25">
        <f>Damiano!D55+Grace!D55+'Agape Home'!D55+'AGAPE DOS'!D55</f>
        <v>0</v>
      </c>
      <c r="E55" s="25">
        <f>Damiano!E55+Grace!E55+'Agape Home'!E55+'AGAPE DOS'!E55</f>
        <v>0</v>
      </c>
      <c r="F55" s="25">
        <f>Damiano!F55+Grace!F55+'Agape Home'!F55+'AGAPE DOS'!F55</f>
        <v>0</v>
      </c>
      <c r="G55" s="25">
        <f>Damiano!G55+Grace!G55+'Agape Home'!G55+'AGAPE DOS'!G55</f>
        <v>0</v>
      </c>
      <c r="H55" s="25">
        <f>Damiano!H55+Grace!H55+'Agape Home'!H55+'AGAPE DOS'!H55</f>
        <v>0</v>
      </c>
      <c r="I55" s="25">
        <f>Damiano!I55+Grace!I55+'Agape Home'!I55+'AGAPE DOS'!I55</f>
        <v>0</v>
      </c>
      <c r="J55" s="25">
        <f>Damiano!J55+Grace!J55+'Agape Home'!J55+'AGAPE DOS'!J55</f>
        <v>0</v>
      </c>
      <c r="K55" s="25">
        <f>Damiano!K55+Grace!K55+'Agape Home'!K55+'AGAPE DOS'!K55</f>
        <v>0</v>
      </c>
      <c r="L55" s="25">
        <f>Damiano!L55+Grace!L55+'Agape Home'!L55+'AGAPE DOS'!L55</f>
        <v>0</v>
      </c>
      <c r="M55" s="25">
        <f>Damiano!M55+Grace!M55+'Agape Home'!M55+'AGAPE DOS'!M55</f>
        <v>0</v>
      </c>
      <c r="N55" s="25">
        <f>Damiano!N55+Grace!N55+'Agape Home'!N55+'AGAPE DOS'!N55</f>
        <v>0</v>
      </c>
      <c r="O55" s="25">
        <f>Damiano!O55+Grace!O55+'Agape Home'!O55+'AGAPE DOS'!O55</f>
        <v>0</v>
      </c>
      <c r="P55" s="25">
        <f t="shared" ref="P55:P83" si="10">SUM(D55:O55)</f>
        <v>0</v>
      </c>
      <c r="Q55" s="25"/>
    </row>
    <row r="56" spans="1:17" x14ac:dyDescent="0.3">
      <c r="A56" s="26"/>
      <c r="B56" s="27" t="s">
        <v>43</v>
      </c>
      <c r="C56" s="25"/>
      <c r="D56" s="43">
        <f>Damiano!D56+Grace!D56+'Agape Home'!D56+'AGAPE DOS'!D56</f>
        <v>0</v>
      </c>
      <c r="E56" s="43">
        <f>Damiano!E56+Grace!E56+'Agape Home'!E56+'AGAPE DOS'!E56</f>
        <v>0</v>
      </c>
      <c r="F56" s="25">
        <f>Damiano!F56+Grace!F56+'Agape Home'!F56+'AGAPE DOS'!F56</f>
        <v>0</v>
      </c>
      <c r="G56" s="25">
        <f>Damiano!G56+Grace!G56+'Agape Home'!G56+'AGAPE DOS'!G56</f>
        <v>0</v>
      </c>
      <c r="H56" s="25">
        <f>Damiano!H56+Grace!H56+'Agape Home'!H56+'AGAPE DOS'!H56</f>
        <v>0</v>
      </c>
      <c r="I56" s="25">
        <f>Damiano!I56+Grace!I56+'Agape Home'!I56+'AGAPE DOS'!I56</f>
        <v>750</v>
      </c>
      <c r="J56" s="25">
        <f>Damiano!J56+Grace!J56+'Agape Home'!J56+'AGAPE DOS'!J56</f>
        <v>0</v>
      </c>
      <c r="K56" s="25">
        <f>Damiano!K56+Grace!K56+'Agape Home'!K56+'AGAPE DOS'!K56</f>
        <v>0</v>
      </c>
      <c r="L56" s="25">
        <f>Damiano!L56+Grace!L56+'Agape Home'!L56+'AGAPE DOS'!L56</f>
        <v>0</v>
      </c>
      <c r="M56" s="25">
        <f>Damiano!M56+Grace!M56+'Agape Home'!M56+'AGAPE DOS'!M56</f>
        <v>0</v>
      </c>
      <c r="N56" s="25">
        <f>Damiano!N56+Grace!N56+'Agape Home'!N56+'AGAPE DOS'!N56</f>
        <v>0</v>
      </c>
      <c r="O56" s="25">
        <f>Damiano!O56+Grace!O56+'Agape Home'!O56+'AGAPE DOS'!O56</f>
        <v>0</v>
      </c>
      <c r="P56" s="25">
        <f t="shared" si="10"/>
        <v>750</v>
      </c>
      <c r="Q56" s="25"/>
    </row>
    <row r="57" spans="1:17" x14ac:dyDescent="0.3">
      <c r="A57" s="26"/>
      <c r="B57" s="27" t="s">
        <v>44</v>
      </c>
      <c r="C57" s="25"/>
      <c r="D57" s="25">
        <f>Damiano!D57+Grace!D57+'Agape Home'!D57+'AGAPE DOS'!D57</f>
        <v>150</v>
      </c>
      <c r="E57" s="25">
        <f>Damiano!E57+Grace!E57+'Agape Home'!E57+'AGAPE DOS'!E57</f>
        <v>150</v>
      </c>
      <c r="F57" s="25">
        <f>Damiano!F57+Grace!F57+'Agape Home'!F57+'AGAPE DOS'!F57</f>
        <v>150</v>
      </c>
      <c r="G57" s="25">
        <f>Damiano!G57+Grace!G57+'Agape Home'!G57+'AGAPE DOS'!G57</f>
        <v>150</v>
      </c>
      <c r="H57" s="25">
        <f>Damiano!H57+Grace!H57+'Agape Home'!H57+'AGAPE DOS'!H57</f>
        <v>150</v>
      </c>
      <c r="I57" s="25">
        <f>Damiano!I57+Grace!I57+'Agape Home'!I57+'AGAPE DOS'!I57</f>
        <v>150</v>
      </c>
      <c r="J57" s="25">
        <f>Damiano!J57+Grace!J57+'Agape Home'!J57+'AGAPE DOS'!J57</f>
        <v>150</v>
      </c>
      <c r="K57" s="25">
        <f>Damiano!K57+Grace!K57+'Agape Home'!K57+'AGAPE DOS'!K57</f>
        <v>150</v>
      </c>
      <c r="L57" s="25">
        <f>Damiano!L57+Grace!L57+'Agape Home'!L57+'AGAPE DOS'!L57</f>
        <v>150</v>
      </c>
      <c r="M57" s="25">
        <f>Damiano!M57+Grace!M57+'Agape Home'!M57+'AGAPE DOS'!M57</f>
        <v>150</v>
      </c>
      <c r="N57" s="25">
        <f>Damiano!N57+Grace!N57+'Agape Home'!N57+'AGAPE DOS'!N57</f>
        <v>150</v>
      </c>
      <c r="O57" s="25">
        <f>Damiano!O57+Grace!O57+'Agape Home'!O57+'AGAPE DOS'!O57</f>
        <v>150</v>
      </c>
      <c r="P57" s="25">
        <f t="shared" si="10"/>
        <v>1800</v>
      </c>
      <c r="Q57" s="25"/>
    </row>
    <row r="58" spans="1:17" x14ac:dyDescent="0.3">
      <c r="A58" s="26"/>
      <c r="B58" s="27" t="s">
        <v>45</v>
      </c>
      <c r="C58" s="25"/>
      <c r="D58" s="25">
        <f>Damiano!D58+Grace!D58+'Agape Home'!D58+'AGAPE DOS'!D58</f>
        <v>75</v>
      </c>
      <c r="E58" s="25">
        <f>Damiano!E58+Grace!E58+'Agape Home'!E58+'AGAPE DOS'!E58</f>
        <v>75</v>
      </c>
      <c r="F58" s="25">
        <f>Damiano!F58+Grace!F58+'Agape Home'!F58+'AGAPE DOS'!F58</f>
        <v>75</v>
      </c>
      <c r="G58" s="25">
        <f>Damiano!G58+Grace!G58+'Agape Home'!G58+'AGAPE DOS'!G58</f>
        <v>75</v>
      </c>
      <c r="H58" s="25">
        <f>Damiano!H58+Grace!H58+'Agape Home'!H58+'AGAPE DOS'!H58</f>
        <v>75</v>
      </c>
      <c r="I58" s="25">
        <f>Damiano!I58+Grace!I58+'Agape Home'!I58+'AGAPE DOS'!I58</f>
        <v>75</v>
      </c>
      <c r="J58" s="25">
        <f>Damiano!J58+Grace!J58+'Agape Home'!J58+'AGAPE DOS'!J58</f>
        <v>75</v>
      </c>
      <c r="K58" s="25">
        <f>Damiano!K58+Grace!K58+'Agape Home'!K58+'AGAPE DOS'!K58</f>
        <v>75</v>
      </c>
      <c r="L58" s="25">
        <f>Damiano!L58+Grace!L58+'Agape Home'!L58+'AGAPE DOS'!L58</f>
        <v>75</v>
      </c>
      <c r="M58" s="25">
        <f>Damiano!M58+Grace!M58+'Agape Home'!M58+'AGAPE DOS'!M58</f>
        <v>75</v>
      </c>
      <c r="N58" s="25">
        <f>Damiano!N58+Grace!N58+'Agape Home'!N58+'AGAPE DOS'!N58</f>
        <v>75</v>
      </c>
      <c r="O58" s="25">
        <f>Damiano!O58+Grace!O58+'Agape Home'!O58+'AGAPE DOS'!O58</f>
        <v>75</v>
      </c>
      <c r="P58" s="25">
        <f t="shared" si="10"/>
        <v>900</v>
      </c>
      <c r="Q58" s="25"/>
    </row>
    <row r="59" spans="1:17" x14ac:dyDescent="0.3">
      <c r="A59" s="26"/>
      <c r="B59" s="27" t="s">
        <v>46</v>
      </c>
      <c r="C59" s="25"/>
      <c r="D59" s="25">
        <f>Damiano!D59+Grace!D59+'Agape Home'!D59+'AGAPE DOS'!D59</f>
        <v>0</v>
      </c>
      <c r="E59" s="25">
        <f>Damiano!E59+Grace!E59+'Agape Home'!E59+'AGAPE DOS'!E59</f>
        <v>0</v>
      </c>
      <c r="F59" s="25">
        <f>Damiano!F59+Grace!F59+'Agape Home'!F59+'AGAPE DOS'!F59</f>
        <v>0</v>
      </c>
      <c r="G59" s="25">
        <f>Damiano!G59+Grace!G59+'Agape Home'!G59+'AGAPE DOS'!G59</f>
        <v>0</v>
      </c>
      <c r="H59" s="25">
        <f>Damiano!H59+Grace!H59+'Agape Home'!H59+'AGAPE DOS'!H59</f>
        <v>0</v>
      </c>
      <c r="I59" s="25">
        <f>Damiano!I59+Grace!I59+'Agape Home'!I59+'AGAPE DOS'!I59</f>
        <v>0</v>
      </c>
      <c r="J59" s="25">
        <f>Damiano!J59+Grace!J59+'Agape Home'!J59+'AGAPE DOS'!J59</f>
        <v>0</v>
      </c>
      <c r="K59" s="25">
        <f>Damiano!K59+Grace!K59+'Agape Home'!K59+'AGAPE DOS'!K59</f>
        <v>0</v>
      </c>
      <c r="L59" s="25">
        <f>Damiano!L59+Grace!L59+'Agape Home'!L59+'AGAPE DOS'!L59</f>
        <v>0</v>
      </c>
      <c r="M59" s="25">
        <f>Damiano!M59+Grace!M59+'Agape Home'!M59+'AGAPE DOS'!M59</f>
        <v>0</v>
      </c>
      <c r="N59" s="25">
        <f>Damiano!N59+Grace!N59+'Agape Home'!N59+'AGAPE DOS'!N59</f>
        <v>0</v>
      </c>
      <c r="O59" s="25">
        <f>Damiano!O59+Grace!O59+'Agape Home'!O59+'AGAPE DOS'!O59</f>
        <v>0</v>
      </c>
      <c r="P59" s="25">
        <f t="shared" si="10"/>
        <v>0</v>
      </c>
      <c r="Q59" s="25"/>
    </row>
    <row r="60" spans="1:17" x14ac:dyDescent="0.3">
      <c r="A60" s="26"/>
      <c r="B60" s="27" t="s">
        <v>47</v>
      </c>
      <c r="C60" s="25"/>
      <c r="D60" s="25">
        <f>Damiano!D60+Grace!D60+'Agape Home'!D60+'AGAPE DOS'!D60</f>
        <v>0</v>
      </c>
      <c r="E60" s="25">
        <f>Damiano!E60+Grace!E60+'Agape Home'!E60+'AGAPE DOS'!E60</f>
        <v>0</v>
      </c>
      <c r="F60" s="25">
        <f>Damiano!F60+Grace!F60+'Agape Home'!F60+'AGAPE DOS'!F60</f>
        <v>0</v>
      </c>
      <c r="G60" s="25">
        <f>Damiano!G60+Grace!G60+'Agape Home'!G60+'AGAPE DOS'!G60</f>
        <v>0</v>
      </c>
      <c r="H60" s="25">
        <f>Damiano!H60+Grace!H60+'Agape Home'!H60+'AGAPE DOS'!H60</f>
        <v>0</v>
      </c>
      <c r="I60" s="25">
        <f>Damiano!I60+Grace!I60+'Agape Home'!I60+'AGAPE DOS'!I60</f>
        <v>0</v>
      </c>
      <c r="J60" s="25">
        <f>Damiano!J60+Grace!J60+'Agape Home'!J60+'AGAPE DOS'!J60</f>
        <v>0</v>
      </c>
      <c r="K60" s="25">
        <f>Damiano!K60+Grace!K60+'Agape Home'!K60+'AGAPE DOS'!K60</f>
        <v>0</v>
      </c>
      <c r="L60" s="25">
        <f>Damiano!L60+Grace!L60+'Agape Home'!L60+'AGAPE DOS'!L60</f>
        <v>0</v>
      </c>
      <c r="M60" s="25">
        <f>Damiano!M60+Grace!M60+'Agape Home'!M60+'AGAPE DOS'!M60</f>
        <v>0</v>
      </c>
      <c r="N60" s="25">
        <f>Damiano!N60+Grace!N60+'Agape Home'!N60+'AGAPE DOS'!N60</f>
        <v>0</v>
      </c>
      <c r="O60" s="25">
        <f>Damiano!O60+Grace!O60+'Agape Home'!O60+'AGAPE DOS'!O60</f>
        <v>0</v>
      </c>
      <c r="P60" s="25">
        <f t="shared" si="10"/>
        <v>0</v>
      </c>
      <c r="Q60" s="25"/>
    </row>
    <row r="61" spans="1:17" x14ac:dyDescent="0.3">
      <c r="A61" s="26"/>
      <c r="B61" s="27" t="s">
        <v>48</v>
      </c>
      <c r="C61" s="25"/>
      <c r="D61" s="25">
        <f>Damiano!D61+Grace!D61+'Agape Home'!D61+'AGAPE DOS'!D61</f>
        <v>0</v>
      </c>
      <c r="E61" s="25">
        <f>Damiano!E61+Grace!E61+'Agape Home'!E61+'AGAPE DOS'!E61</f>
        <v>0</v>
      </c>
      <c r="F61" s="25">
        <f>Damiano!F61+Grace!F61+'Agape Home'!F61+'AGAPE DOS'!F61</f>
        <v>0</v>
      </c>
      <c r="G61" s="25">
        <f>Damiano!G61+Grace!G61+'Agape Home'!G61+'AGAPE DOS'!G61</f>
        <v>0</v>
      </c>
      <c r="H61" s="25">
        <f>Damiano!H61+Grace!H61+'Agape Home'!H61+'AGAPE DOS'!H61</f>
        <v>0</v>
      </c>
      <c r="I61" s="25">
        <f>Damiano!I61+Grace!I61+'Agape Home'!I61+'AGAPE DOS'!I61</f>
        <v>0</v>
      </c>
      <c r="J61" s="25">
        <f>Damiano!J61+Grace!J61+'Agape Home'!J61+'AGAPE DOS'!J61</f>
        <v>0</v>
      </c>
      <c r="K61" s="25">
        <f>Damiano!K61+Grace!K61+'Agape Home'!K61+'AGAPE DOS'!K61</f>
        <v>0</v>
      </c>
      <c r="L61" s="25">
        <f>Damiano!L61+Grace!L61+'Agape Home'!L61+'AGAPE DOS'!L61</f>
        <v>0</v>
      </c>
      <c r="M61" s="25">
        <f>Damiano!M61+Grace!M61+'Agape Home'!M61+'AGAPE DOS'!M61</f>
        <v>0</v>
      </c>
      <c r="N61" s="25">
        <f>Damiano!N61+Grace!N61+'Agape Home'!N61+'AGAPE DOS'!N61</f>
        <v>0</v>
      </c>
      <c r="O61" s="25">
        <f>Damiano!O61+Grace!O61+'Agape Home'!O61+'AGAPE DOS'!O61</f>
        <v>0</v>
      </c>
      <c r="P61" s="25">
        <f t="shared" si="10"/>
        <v>0</v>
      </c>
      <c r="Q61" s="25"/>
    </row>
    <row r="62" spans="1:17" x14ac:dyDescent="0.3">
      <c r="A62" s="26"/>
      <c r="B62" s="27" t="s">
        <v>49</v>
      </c>
      <c r="C62" s="25"/>
      <c r="D62" s="25">
        <f>Damiano!D62+Grace!D62+'Agape Home'!D62+'AGAPE DOS'!D62</f>
        <v>0</v>
      </c>
      <c r="E62" s="25">
        <f>Damiano!E62+Grace!E62+'Agape Home'!E62+'AGAPE DOS'!E62</f>
        <v>0</v>
      </c>
      <c r="F62" s="25">
        <f>Damiano!F62+Grace!F62+'Agape Home'!F62+'AGAPE DOS'!F62</f>
        <v>0</v>
      </c>
      <c r="G62" s="25">
        <f>Damiano!G62+Grace!G62+'Agape Home'!G62+'AGAPE DOS'!G62</f>
        <v>0</v>
      </c>
      <c r="H62" s="25">
        <f>Damiano!H62+Grace!H62+'Agape Home'!H62+'AGAPE DOS'!H62</f>
        <v>0</v>
      </c>
      <c r="I62" s="25">
        <f>Damiano!I62+Grace!I62+'Agape Home'!I62+'AGAPE DOS'!I62</f>
        <v>0</v>
      </c>
      <c r="J62" s="25">
        <f>Damiano!J62+Grace!J62+'Agape Home'!J62+'AGAPE DOS'!J62</f>
        <v>0</v>
      </c>
      <c r="K62" s="25">
        <f>Damiano!K62+Grace!K62+'Agape Home'!K62+'AGAPE DOS'!K62</f>
        <v>0</v>
      </c>
      <c r="L62" s="25">
        <f>Damiano!L62+Grace!L62+'Agape Home'!L62+'AGAPE DOS'!L62</f>
        <v>0</v>
      </c>
      <c r="M62" s="25">
        <f>Damiano!M62+Grace!M62+'Agape Home'!M62+'AGAPE DOS'!M62</f>
        <v>0</v>
      </c>
      <c r="N62" s="25">
        <f>Damiano!N62+Grace!N62+'Agape Home'!N62+'AGAPE DOS'!N62</f>
        <v>0</v>
      </c>
      <c r="O62" s="25">
        <f>Damiano!O62+Grace!O62+'Agape Home'!O62+'AGAPE DOS'!O62</f>
        <v>0</v>
      </c>
      <c r="P62" s="25">
        <f t="shared" si="10"/>
        <v>0</v>
      </c>
      <c r="Q62" s="25"/>
    </row>
    <row r="63" spans="1:17" x14ac:dyDescent="0.3">
      <c r="A63" s="26"/>
      <c r="B63" s="27" t="s">
        <v>50</v>
      </c>
      <c r="C63" s="25"/>
      <c r="D63" s="25">
        <f>Damiano!D63+Grace!D63+'Agape Home'!D63+'AGAPE DOS'!D63</f>
        <v>0</v>
      </c>
      <c r="E63" s="25">
        <f>Damiano!E63+Grace!E63+'Agape Home'!E63+'AGAPE DOS'!E63</f>
        <v>0</v>
      </c>
      <c r="F63" s="25">
        <f>Damiano!F63+Grace!F63+'Agape Home'!F63+'AGAPE DOS'!F63</f>
        <v>0</v>
      </c>
      <c r="G63" s="25">
        <f>Damiano!G63+Grace!G63+'Agape Home'!G63+'AGAPE DOS'!G63</f>
        <v>0</v>
      </c>
      <c r="H63" s="25">
        <f>Damiano!H63+Grace!H63+'Agape Home'!H63+'AGAPE DOS'!H63</f>
        <v>0</v>
      </c>
      <c r="I63" s="25">
        <f>Damiano!I63+Grace!I63+'Agape Home'!I63+'AGAPE DOS'!I63</f>
        <v>0</v>
      </c>
      <c r="J63" s="25">
        <f>Damiano!J63+Grace!J63+'Agape Home'!J63+'AGAPE DOS'!J63</f>
        <v>0</v>
      </c>
      <c r="K63" s="25">
        <f>Damiano!K63+Grace!K63+'Agape Home'!K63+'AGAPE DOS'!K63</f>
        <v>0</v>
      </c>
      <c r="L63" s="25">
        <f>Damiano!L63+Grace!L63+'Agape Home'!L63+'AGAPE DOS'!L63</f>
        <v>0</v>
      </c>
      <c r="M63" s="25">
        <f>Damiano!M63+Grace!M63+'Agape Home'!M63+'AGAPE DOS'!M63</f>
        <v>0</v>
      </c>
      <c r="N63" s="25">
        <f>Damiano!N63+Grace!N63+'Agape Home'!N63+'AGAPE DOS'!N63</f>
        <v>0</v>
      </c>
      <c r="O63" s="25">
        <f>Damiano!O63+Grace!O63+'Agape Home'!O63+'AGAPE DOS'!O63</f>
        <v>0</v>
      </c>
      <c r="P63" s="25">
        <f t="shared" si="10"/>
        <v>0</v>
      </c>
      <c r="Q63" s="25"/>
    </row>
    <row r="64" spans="1:17" x14ac:dyDescent="0.3">
      <c r="A64" s="26"/>
      <c r="B64" s="27" t="s">
        <v>51</v>
      </c>
      <c r="C64" s="25"/>
      <c r="D64" s="25">
        <f>Damiano!D64+Grace!D64+'Agape Home'!D64+'AGAPE DOS'!D64</f>
        <v>0</v>
      </c>
      <c r="E64" s="25">
        <f>Damiano!E64+Grace!E64+'Agape Home'!E64+'AGAPE DOS'!E64</f>
        <v>0</v>
      </c>
      <c r="F64" s="25">
        <f>Damiano!F64+Grace!F64+'Agape Home'!F64+'AGAPE DOS'!F64</f>
        <v>0</v>
      </c>
      <c r="G64" s="25">
        <f>Damiano!G64+Grace!G64+'Agape Home'!G64+'AGAPE DOS'!G64</f>
        <v>0</v>
      </c>
      <c r="H64" s="25">
        <f>Damiano!H64+Grace!H64+'Agape Home'!H64+'AGAPE DOS'!H64</f>
        <v>0</v>
      </c>
      <c r="I64" s="25">
        <f>Damiano!I64+Grace!I64+'Agape Home'!I64+'AGAPE DOS'!I64</f>
        <v>0</v>
      </c>
      <c r="J64" s="25">
        <f>Damiano!J64+Grace!J64+'Agape Home'!J64+'AGAPE DOS'!J64</f>
        <v>0</v>
      </c>
      <c r="K64" s="25">
        <f>Damiano!K64+Grace!K64+'Agape Home'!K64+'AGAPE DOS'!K64</f>
        <v>0</v>
      </c>
      <c r="L64" s="25">
        <f>Damiano!L64+Grace!L64+'Agape Home'!L64+'AGAPE DOS'!L64</f>
        <v>0</v>
      </c>
      <c r="M64" s="25">
        <f>Damiano!M64+Grace!M64+'Agape Home'!M64+'AGAPE DOS'!M64</f>
        <v>0</v>
      </c>
      <c r="N64" s="25">
        <f>Damiano!N64+Grace!N64+'Agape Home'!N64+'AGAPE DOS'!N64</f>
        <v>0</v>
      </c>
      <c r="O64" s="25">
        <f>Damiano!O64+Grace!O64+'Agape Home'!O64+'AGAPE DOS'!O64</f>
        <v>0</v>
      </c>
      <c r="P64" s="25">
        <f t="shared" si="10"/>
        <v>0</v>
      </c>
      <c r="Q64" s="25"/>
    </row>
    <row r="65" spans="1:17" x14ac:dyDescent="0.3">
      <c r="A65" s="26"/>
      <c r="B65" s="27" t="s">
        <v>52</v>
      </c>
      <c r="C65" s="25"/>
      <c r="D65" s="25">
        <f>Damiano!D65+Grace!D65+'Agape Home'!D65+'AGAPE DOS'!D65</f>
        <v>0</v>
      </c>
      <c r="E65" s="25">
        <f>Damiano!E65+Grace!E65+'Agape Home'!E65+'AGAPE DOS'!E65</f>
        <v>0</v>
      </c>
      <c r="F65" s="25">
        <f>Damiano!F65+Grace!F65+'Agape Home'!F65+'AGAPE DOS'!F65</f>
        <v>0</v>
      </c>
      <c r="G65" s="25">
        <f>Damiano!G65+Grace!G65+'Agape Home'!G65+'AGAPE DOS'!G65</f>
        <v>0</v>
      </c>
      <c r="H65" s="25">
        <f>Damiano!H65+Grace!H65+'Agape Home'!H65+'AGAPE DOS'!H65</f>
        <v>0</v>
      </c>
      <c r="I65" s="25">
        <f>Damiano!I65+Grace!I65+'Agape Home'!I65+'AGAPE DOS'!I65</f>
        <v>0</v>
      </c>
      <c r="J65" s="25">
        <f>Damiano!J65+Grace!J65+'Agape Home'!J65+'AGAPE DOS'!J65</f>
        <v>0</v>
      </c>
      <c r="K65" s="25">
        <f>Damiano!K65+Grace!K65+'Agape Home'!K65+'AGAPE DOS'!K65</f>
        <v>0</v>
      </c>
      <c r="L65" s="25">
        <f>Damiano!L65+Grace!L65+'Agape Home'!L65+'AGAPE DOS'!L65</f>
        <v>0</v>
      </c>
      <c r="M65" s="25">
        <f>Damiano!M65+Grace!M65+'Agape Home'!M65+'AGAPE DOS'!M65</f>
        <v>0</v>
      </c>
      <c r="N65" s="25">
        <f>Damiano!N65+Grace!N65+'Agape Home'!N65+'AGAPE DOS'!N65</f>
        <v>0</v>
      </c>
      <c r="O65" s="25">
        <f>Damiano!O65+Grace!O65+'Agape Home'!O65+'AGAPE DOS'!O65</f>
        <v>0</v>
      </c>
      <c r="P65" s="25">
        <f t="shared" si="10"/>
        <v>0</v>
      </c>
      <c r="Q65" s="25"/>
    </row>
    <row r="66" spans="1:17" x14ac:dyDescent="0.3">
      <c r="A66" s="26"/>
      <c r="B66" s="27" t="s">
        <v>53</v>
      </c>
      <c r="C66" s="25"/>
      <c r="D66" s="25">
        <f>Damiano!D66+Grace!D66+'Agape Home'!D66+'AGAPE DOS'!D66</f>
        <v>75</v>
      </c>
      <c r="E66" s="25">
        <f>Damiano!E66+Grace!E66+'Agape Home'!E66+'AGAPE DOS'!E66</f>
        <v>75</v>
      </c>
      <c r="F66" s="25">
        <f>Damiano!F66+Grace!F66+'Agape Home'!F66+'AGAPE DOS'!F66</f>
        <v>75</v>
      </c>
      <c r="G66" s="25">
        <f>Damiano!G66+Grace!G66+'Agape Home'!G66+'AGAPE DOS'!G66</f>
        <v>75</v>
      </c>
      <c r="H66" s="25">
        <f>Damiano!H66+Grace!H66+'Agape Home'!H66+'AGAPE DOS'!H66</f>
        <v>75</v>
      </c>
      <c r="I66" s="25">
        <f>Damiano!I66+Grace!I66+'Agape Home'!I66+'AGAPE DOS'!I66</f>
        <v>75</v>
      </c>
      <c r="J66" s="25">
        <f>Damiano!J66+Grace!J66+'Agape Home'!J66+'AGAPE DOS'!J66</f>
        <v>75</v>
      </c>
      <c r="K66" s="25">
        <f>Damiano!K66+Grace!K66+'Agape Home'!K66+'AGAPE DOS'!K66</f>
        <v>75</v>
      </c>
      <c r="L66" s="25">
        <f>Damiano!L66+Grace!L66+'Agape Home'!L66+'AGAPE DOS'!L66</f>
        <v>75</v>
      </c>
      <c r="M66" s="25">
        <f>Damiano!M66+Grace!M66+'Agape Home'!M66+'AGAPE DOS'!M66</f>
        <v>75</v>
      </c>
      <c r="N66" s="25">
        <f>Damiano!N66+Grace!N66+'Agape Home'!N66+'AGAPE DOS'!N66</f>
        <v>75</v>
      </c>
      <c r="O66" s="25">
        <f>Damiano!O66+Grace!O66+'Agape Home'!O66+'AGAPE DOS'!O66</f>
        <v>75</v>
      </c>
      <c r="P66" s="25">
        <f t="shared" si="10"/>
        <v>900</v>
      </c>
      <c r="Q66" s="25"/>
    </row>
    <row r="67" spans="1:17" x14ac:dyDescent="0.3">
      <c r="A67" s="26"/>
      <c r="B67" s="27" t="s">
        <v>54</v>
      </c>
      <c r="C67" s="25"/>
      <c r="D67" s="25">
        <f>Damiano!D67+Grace!D67+'Agape Home'!D67+'AGAPE DOS'!D67</f>
        <v>0</v>
      </c>
      <c r="E67" s="25">
        <f>Damiano!E67+Grace!E67+'Agape Home'!E67+'AGAPE DOS'!E67</f>
        <v>0</v>
      </c>
      <c r="F67" s="25">
        <f>Damiano!F67+Grace!F67+'Agape Home'!F67+'AGAPE DOS'!F67</f>
        <v>0</v>
      </c>
      <c r="G67" s="25">
        <f>Damiano!G67+Grace!G67+'Agape Home'!G67+'AGAPE DOS'!G67</f>
        <v>0</v>
      </c>
      <c r="H67" s="25">
        <f>Damiano!H67+Grace!H67+'Agape Home'!H67+'AGAPE DOS'!H67</f>
        <v>0</v>
      </c>
      <c r="I67" s="25">
        <f>Damiano!I67+Grace!I67+'Agape Home'!I67+'AGAPE DOS'!I67</f>
        <v>0</v>
      </c>
      <c r="J67" s="25">
        <f>Damiano!J67+Grace!J67+'Agape Home'!J67+'AGAPE DOS'!J67</f>
        <v>0</v>
      </c>
      <c r="K67" s="25">
        <f>Damiano!K67+Grace!K67+'Agape Home'!K67+'AGAPE DOS'!K67</f>
        <v>0</v>
      </c>
      <c r="L67" s="25">
        <f>Damiano!L67+Grace!L67+'Agape Home'!L67+'AGAPE DOS'!L67</f>
        <v>0</v>
      </c>
      <c r="M67" s="25">
        <f>Damiano!M67+Grace!M67+'Agape Home'!M67+'AGAPE DOS'!M67</f>
        <v>0</v>
      </c>
      <c r="N67" s="25">
        <f>Damiano!N67+Grace!N67+'Agape Home'!N67+'AGAPE DOS'!N67</f>
        <v>0</v>
      </c>
      <c r="O67" s="25">
        <f>Damiano!O67+Grace!O67+'Agape Home'!O67+'AGAPE DOS'!O67</f>
        <v>0</v>
      </c>
      <c r="P67" s="25">
        <f t="shared" si="10"/>
        <v>0</v>
      </c>
      <c r="Q67" s="25"/>
    </row>
    <row r="68" spans="1:17" x14ac:dyDescent="0.3">
      <c r="A68" s="26"/>
      <c r="B68" s="27" t="s">
        <v>55</v>
      </c>
      <c r="C68" s="25"/>
      <c r="D68" s="25">
        <f>Damiano!D68+Grace!D68+'Agape Home'!D68+'AGAPE DOS'!D68</f>
        <v>0</v>
      </c>
      <c r="E68" s="25">
        <f>Damiano!E68+Grace!E68+'Agape Home'!E68+'AGAPE DOS'!E68</f>
        <v>0</v>
      </c>
      <c r="F68" s="25">
        <f>Damiano!F68+Grace!F68+'Agape Home'!F68+'AGAPE DOS'!F68</f>
        <v>0</v>
      </c>
      <c r="G68" s="25">
        <f>Damiano!G68+Grace!G68+'Agape Home'!G68+'AGAPE DOS'!G68</f>
        <v>0</v>
      </c>
      <c r="H68" s="25">
        <f>Damiano!H68+Grace!H68+'Agape Home'!H68+'AGAPE DOS'!H68</f>
        <v>0</v>
      </c>
      <c r="I68" s="25">
        <f>Damiano!I68+Grace!I68+'Agape Home'!I68+'AGAPE DOS'!I68</f>
        <v>0</v>
      </c>
      <c r="J68" s="25">
        <f>Damiano!J68+Grace!J68+'Agape Home'!J68+'AGAPE DOS'!J68</f>
        <v>0</v>
      </c>
      <c r="K68" s="25">
        <f>Damiano!K68+Grace!K68+'Agape Home'!K68+'AGAPE DOS'!K68</f>
        <v>0</v>
      </c>
      <c r="L68" s="25">
        <f>Damiano!L68+Grace!L68+'Agape Home'!L68+'AGAPE DOS'!L68</f>
        <v>0</v>
      </c>
      <c r="M68" s="25">
        <f>Damiano!M68+Grace!M68+'Agape Home'!M68+'AGAPE DOS'!M68</f>
        <v>0</v>
      </c>
      <c r="N68" s="25">
        <f>Damiano!N68+Grace!N68+'Agape Home'!N68+'AGAPE DOS'!N68</f>
        <v>0</v>
      </c>
      <c r="O68" s="25">
        <f>Damiano!O68+Grace!O68+'Agape Home'!O68+'AGAPE DOS'!O68</f>
        <v>0</v>
      </c>
      <c r="P68" s="25">
        <f t="shared" si="10"/>
        <v>0</v>
      </c>
      <c r="Q68" s="25"/>
    </row>
    <row r="69" spans="1:17" x14ac:dyDescent="0.3">
      <c r="A69" s="26"/>
      <c r="B69" s="27" t="s">
        <v>56</v>
      </c>
      <c r="C69" s="25"/>
      <c r="D69" s="25">
        <f>Damiano!D69+Grace!D69+'Agape Home'!D69+'AGAPE DOS'!D69</f>
        <v>0</v>
      </c>
      <c r="E69" s="25">
        <f>Damiano!E69+Grace!E69+'Agape Home'!E69+'AGAPE DOS'!E69</f>
        <v>0</v>
      </c>
      <c r="F69" s="25">
        <f>Damiano!F69+Grace!F69+'Agape Home'!F69+'AGAPE DOS'!F69</f>
        <v>0</v>
      </c>
      <c r="G69" s="25">
        <f>Damiano!G69+Grace!G69+'Agape Home'!G69+'AGAPE DOS'!G69</f>
        <v>0</v>
      </c>
      <c r="H69" s="25">
        <f>Damiano!H69+Grace!H69+'Agape Home'!H69+'AGAPE DOS'!H69</f>
        <v>0</v>
      </c>
      <c r="I69" s="25">
        <f>Damiano!I69+Grace!I69+'Agape Home'!I69+'AGAPE DOS'!I69</f>
        <v>0</v>
      </c>
      <c r="J69" s="25">
        <f>Damiano!J69+Grace!J69+'Agape Home'!J69+'AGAPE DOS'!J69</f>
        <v>0</v>
      </c>
      <c r="K69" s="25">
        <f>Damiano!K69+Grace!K69+'Agape Home'!K69+'AGAPE DOS'!K69</f>
        <v>0</v>
      </c>
      <c r="L69" s="25">
        <f>Damiano!L69+Grace!L69+'Agape Home'!L69+'AGAPE DOS'!L69</f>
        <v>0</v>
      </c>
      <c r="M69" s="25">
        <f>Damiano!M69+Grace!M69+'Agape Home'!M69+'AGAPE DOS'!M69</f>
        <v>0</v>
      </c>
      <c r="N69" s="25">
        <f>Damiano!N69+Grace!N69+'Agape Home'!N69+'AGAPE DOS'!N69</f>
        <v>0</v>
      </c>
      <c r="O69" s="25">
        <f>Damiano!O69+Grace!O69+'Agape Home'!O69+'AGAPE DOS'!O69</f>
        <v>0</v>
      </c>
      <c r="P69" s="25">
        <f t="shared" si="10"/>
        <v>0</v>
      </c>
      <c r="Q69" s="25"/>
    </row>
    <row r="70" spans="1:17" x14ac:dyDescent="0.3">
      <c r="A70" s="26"/>
      <c r="B70" s="27" t="s">
        <v>57</v>
      </c>
      <c r="C70" s="25"/>
      <c r="D70" s="25">
        <f>Damiano!D70+Grace!D70+'Agape Home'!D70+'AGAPE DOS'!D70</f>
        <v>138</v>
      </c>
      <c r="E70" s="25">
        <f>Damiano!E70+Grace!E70+'Agape Home'!E70+'AGAPE DOS'!E70</f>
        <v>138</v>
      </c>
      <c r="F70" s="25">
        <f>Damiano!F70+Grace!F70+'Agape Home'!F70+'AGAPE DOS'!F70</f>
        <v>138</v>
      </c>
      <c r="G70" s="25">
        <f>Damiano!G70+Grace!G70+'Agape Home'!G70+'AGAPE DOS'!G70</f>
        <v>138</v>
      </c>
      <c r="H70" s="25">
        <f>Damiano!H70+Grace!H70+'Agape Home'!H70+'AGAPE DOS'!H70</f>
        <v>138</v>
      </c>
      <c r="I70" s="25">
        <f>Damiano!I70+Grace!I70+'Agape Home'!I70+'AGAPE DOS'!I70</f>
        <v>138</v>
      </c>
      <c r="J70" s="25">
        <f>Damiano!J70+Grace!J70+'Agape Home'!J70+'AGAPE DOS'!J70</f>
        <v>138</v>
      </c>
      <c r="K70" s="25">
        <f>Damiano!K70+Grace!K70+'Agape Home'!K70+'AGAPE DOS'!K70</f>
        <v>138</v>
      </c>
      <c r="L70" s="25">
        <f>Damiano!L70+Grace!L70+'Agape Home'!L70+'AGAPE DOS'!L70</f>
        <v>138</v>
      </c>
      <c r="M70" s="25">
        <f>Damiano!M70+Grace!M70+'Agape Home'!M70+'AGAPE DOS'!M70</f>
        <v>138</v>
      </c>
      <c r="N70" s="25">
        <f>Damiano!N70+Grace!N70+'Agape Home'!N70+'AGAPE DOS'!N70</f>
        <v>138</v>
      </c>
      <c r="O70" s="25">
        <f>Damiano!O70+Grace!O70+'Agape Home'!O70+'AGAPE DOS'!O70</f>
        <v>138</v>
      </c>
      <c r="P70" s="25">
        <f t="shared" si="10"/>
        <v>1656</v>
      </c>
      <c r="Q70" s="25"/>
    </row>
    <row r="71" spans="1:17" x14ac:dyDescent="0.3">
      <c r="A71" s="26"/>
      <c r="B71" s="27" t="s">
        <v>58</v>
      </c>
      <c r="C71" s="25"/>
      <c r="D71" s="25">
        <f>Damiano!D71+Grace!D71+'Agape Home'!D71+'AGAPE DOS'!D71</f>
        <v>0</v>
      </c>
      <c r="E71" s="25">
        <f>Damiano!E71+Grace!E71+'Agape Home'!E71+'AGAPE DOS'!E71</f>
        <v>0</v>
      </c>
      <c r="F71" s="25">
        <f>Damiano!F71+Grace!F71+'Agape Home'!F71+'AGAPE DOS'!F71</f>
        <v>0</v>
      </c>
      <c r="G71" s="25">
        <f>Damiano!G71+Grace!G71+'Agape Home'!G71+'AGAPE DOS'!G71</f>
        <v>0</v>
      </c>
      <c r="H71" s="25">
        <f>Damiano!H71+Grace!H71+'Agape Home'!H71+'AGAPE DOS'!H71</f>
        <v>0</v>
      </c>
      <c r="I71" s="25">
        <f>Damiano!I71+Grace!I71+'Agape Home'!I71+'AGAPE DOS'!I71</f>
        <v>0</v>
      </c>
      <c r="J71" s="25">
        <f>Damiano!J71+Grace!J71+'Agape Home'!J71+'AGAPE DOS'!J71</f>
        <v>0</v>
      </c>
      <c r="K71" s="25">
        <f>Damiano!K71+Grace!K71+'Agape Home'!K71+'AGAPE DOS'!K71</f>
        <v>0</v>
      </c>
      <c r="L71" s="25">
        <f>Damiano!L71+Grace!L71+'Agape Home'!L71+'AGAPE DOS'!L71</f>
        <v>0</v>
      </c>
      <c r="M71" s="25">
        <f>Damiano!M71+Grace!M71+'Agape Home'!M71+'AGAPE DOS'!M71</f>
        <v>0</v>
      </c>
      <c r="N71" s="25">
        <f>Damiano!N71+Grace!N71+'Agape Home'!N71+'AGAPE DOS'!N71</f>
        <v>0</v>
      </c>
      <c r="O71" s="25">
        <f>Damiano!O71+Grace!O71+'Agape Home'!O71+'AGAPE DOS'!O71</f>
        <v>0</v>
      </c>
      <c r="P71" s="25">
        <f t="shared" si="10"/>
        <v>0</v>
      </c>
      <c r="Q71" s="25"/>
    </row>
    <row r="72" spans="1:17" x14ac:dyDescent="0.3">
      <c r="A72" s="26"/>
      <c r="B72" s="27" t="s">
        <v>59</v>
      </c>
      <c r="C72" s="25"/>
      <c r="D72" s="25">
        <f>Damiano!D72+Grace!D72+'Agape Home'!D72+'AGAPE DOS'!D72</f>
        <v>0</v>
      </c>
      <c r="E72" s="25">
        <f>Damiano!E72+Grace!E72+'Agape Home'!E72+'AGAPE DOS'!E72</f>
        <v>0</v>
      </c>
      <c r="F72" s="25">
        <f>Damiano!F72+Grace!F72+'Agape Home'!F72+'AGAPE DOS'!F72</f>
        <v>0</v>
      </c>
      <c r="G72" s="25">
        <f>Damiano!G72+Grace!G72+'Agape Home'!G72+'AGAPE DOS'!G72</f>
        <v>0</v>
      </c>
      <c r="H72" s="25">
        <f>Damiano!H72+Grace!H72+'Agape Home'!H72+'AGAPE DOS'!H72</f>
        <v>0</v>
      </c>
      <c r="I72" s="25">
        <f>Damiano!I72+Grace!I72+'Agape Home'!I72+'AGAPE DOS'!I72</f>
        <v>0</v>
      </c>
      <c r="J72" s="25">
        <f>Damiano!J72+Grace!J72+'Agape Home'!J72+'AGAPE DOS'!J72</f>
        <v>0</v>
      </c>
      <c r="K72" s="25">
        <f>Damiano!K72+Grace!K72+'Agape Home'!K72+'AGAPE DOS'!K72</f>
        <v>0</v>
      </c>
      <c r="L72" s="25">
        <f>Damiano!L72+Grace!L72+'Agape Home'!L72+'AGAPE DOS'!L72</f>
        <v>0</v>
      </c>
      <c r="M72" s="25">
        <f>Damiano!M72+Grace!M72+'Agape Home'!M72+'AGAPE DOS'!M72</f>
        <v>0</v>
      </c>
      <c r="N72" s="25">
        <f>Damiano!N72+Grace!N72+'Agape Home'!N72+'AGAPE DOS'!N72</f>
        <v>0</v>
      </c>
      <c r="O72" s="25">
        <f>Damiano!O72+Grace!O72+'Agape Home'!O72+'AGAPE DOS'!O72</f>
        <v>0</v>
      </c>
      <c r="P72" s="25">
        <f t="shared" si="10"/>
        <v>0</v>
      </c>
      <c r="Q72" s="25"/>
    </row>
    <row r="73" spans="1:17" x14ac:dyDescent="0.3">
      <c r="A73" s="26"/>
      <c r="B73" s="27" t="s">
        <v>60</v>
      </c>
      <c r="C73" s="25"/>
      <c r="D73" s="25">
        <f>Damiano!D73+Grace!D73+'Agape Home'!D73+'AGAPE DOS'!D73</f>
        <v>0</v>
      </c>
      <c r="E73" s="25">
        <f>Damiano!E73+Grace!E73+'Agape Home'!E73+'AGAPE DOS'!E73</f>
        <v>0</v>
      </c>
      <c r="F73" s="25">
        <f>Damiano!F73+Grace!F73+'Agape Home'!F73+'AGAPE DOS'!F73</f>
        <v>0</v>
      </c>
      <c r="G73" s="25">
        <f>Damiano!G73+Grace!G73+'Agape Home'!G73+'AGAPE DOS'!G73</f>
        <v>0</v>
      </c>
      <c r="H73" s="25">
        <f>Damiano!H73+Grace!H73+'Agape Home'!H73+'AGAPE DOS'!H73</f>
        <v>0</v>
      </c>
      <c r="I73" s="25">
        <f>Damiano!I73+Grace!I73+'Agape Home'!I73+'AGAPE DOS'!I73</f>
        <v>0</v>
      </c>
      <c r="J73" s="25">
        <f>Damiano!J73+Grace!J73+'Agape Home'!J73+'AGAPE DOS'!J73</f>
        <v>0</v>
      </c>
      <c r="K73" s="25">
        <f>Damiano!K73+Grace!K73+'Agape Home'!K73+'AGAPE DOS'!K73</f>
        <v>0</v>
      </c>
      <c r="L73" s="25">
        <f>Damiano!L73+Grace!L73+'Agape Home'!L73+'AGAPE DOS'!L73</f>
        <v>0</v>
      </c>
      <c r="M73" s="25">
        <f>Damiano!M73+Grace!M73+'Agape Home'!M73+'AGAPE DOS'!M73</f>
        <v>0</v>
      </c>
      <c r="N73" s="25">
        <f>Damiano!N73+Grace!N73+'Agape Home'!N73+'AGAPE DOS'!N73</f>
        <v>0</v>
      </c>
      <c r="O73" s="25">
        <f>Damiano!O73+Grace!O73+'Agape Home'!O73+'AGAPE DOS'!O73</f>
        <v>0</v>
      </c>
      <c r="P73" s="25">
        <f t="shared" si="10"/>
        <v>0</v>
      </c>
      <c r="Q73" s="25"/>
    </row>
    <row r="74" spans="1:17" x14ac:dyDescent="0.3">
      <c r="A74" s="26"/>
      <c r="B74" s="27" t="s">
        <v>61</v>
      </c>
      <c r="C74" s="25"/>
      <c r="D74" s="25">
        <f>Damiano!D74+Grace!D74+'Agape Home'!D74+'AGAPE DOS'!D74</f>
        <v>0</v>
      </c>
      <c r="E74" s="25">
        <f>Damiano!E74+Grace!E74+'Agape Home'!E74+'AGAPE DOS'!E74</f>
        <v>0</v>
      </c>
      <c r="F74" s="25">
        <f>Damiano!F74+Grace!F74+'Agape Home'!F74+'AGAPE DOS'!F74</f>
        <v>0</v>
      </c>
      <c r="G74" s="25">
        <f>Damiano!G74+Grace!G74+'Agape Home'!G74+'AGAPE DOS'!G74</f>
        <v>0</v>
      </c>
      <c r="H74" s="25">
        <f>Damiano!H74+Grace!H74+'Agape Home'!H74+'AGAPE DOS'!H74</f>
        <v>0</v>
      </c>
      <c r="I74" s="25">
        <f>Damiano!I74+Grace!I74+'Agape Home'!I74+'AGAPE DOS'!I74</f>
        <v>0</v>
      </c>
      <c r="J74" s="25">
        <f>Damiano!J74+Grace!J74+'Agape Home'!J74+'AGAPE DOS'!J74</f>
        <v>0</v>
      </c>
      <c r="K74" s="25">
        <f>Damiano!K74+Grace!K74+'Agape Home'!K74+'AGAPE DOS'!K74</f>
        <v>0</v>
      </c>
      <c r="L74" s="25">
        <f>Damiano!L74+Grace!L74+'Agape Home'!L74+'AGAPE DOS'!L74</f>
        <v>0</v>
      </c>
      <c r="M74" s="25">
        <f>Damiano!M74+Grace!M74+'Agape Home'!M74+'AGAPE DOS'!M74</f>
        <v>0</v>
      </c>
      <c r="N74" s="25">
        <f>Damiano!N74+Grace!N74+'Agape Home'!N74+'AGAPE DOS'!N74</f>
        <v>0</v>
      </c>
      <c r="O74" s="25">
        <f>Damiano!O74+Grace!O74+'Agape Home'!O74+'AGAPE DOS'!O74</f>
        <v>0</v>
      </c>
      <c r="P74" s="25">
        <f t="shared" si="10"/>
        <v>0</v>
      </c>
      <c r="Q74" s="25"/>
    </row>
    <row r="75" spans="1:17" x14ac:dyDescent="0.3">
      <c r="A75" s="26"/>
      <c r="B75" s="27" t="s">
        <v>62</v>
      </c>
      <c r="C75" s="25"/>
      <c r="D75" s="25">
        <f>Damiano!D75+Grace!D75+'Agape Home'!D75+'AGAPE DOS'!D75</f>
        <v>0</v>
      </c>
      <c r="E75" s="25">
        <f>Damiano!F75+Grace!E75+'Agape Home'!E75+'AGAPE DOS'!E75</f>
        <v>0</v>
      </c>
      <c r="F75" s="25">
        <f>Damiano!G75+Grace!F75+'Agape Home'!F75+'AGAPE DOS'!F75</f>
        <v>0</v>
      </c>
      <c r="G75" s="25">
        <f>Damiano!H75+Grace!G75+'Agape Home'!G75+'AGAPE DOS'!G75</f>
        <v>0</v>
      </c>
      <c r="H75" s="25">
        <f>Damiano!I75+Grace!H75+'Agape Home'!H75+'AGAPE DOS'!H75</f>
        <v>0</v>
      </c>
      <c r="I75" s="25">
        <f>Damiano!J75+Grace!I75+'Agape Home'!I75+'AGAPE DOS'!I75</f>
        <v>0</v>
      </c>
      <c r="J75" s="25">
        <f>Damiano!J75+Grace!J75+'Agape Home'!J75+'AGAPE DOS'!J75</f>
        <v>0</v>
      </c>
      <c r="K75" s="25">
        <f>Damiano!K75+Grace!K75+'Agape Home'!K75+'AGAPE DOS'!K75</f>
        <v>0</v>
      </c>
      <c r="L75" s="25">
        <f>Damiano!L75+Grace!L75+'Agape Home'!L75+'AGAPE DOS'!L75</f>
        <v>2625</v>
      </c>
      <c r="M75" s="25">
        <f>Damiano!M75+Grace!M75+'Agape Home'!M75+'AGAPE DOS'!M75</f>
        <v>1500</v>
      </c>
      <c r="N75" s="25">
        <f>Damiano!N75+Grace!N75+'Agape Home'!N75+'AGAPE DOS'!N75</f>
        <v>0</v>
      </c>
      <c r="O75" s="25">
        <f>Damiano!O75+Grace!O75+'Agape Home'!O75+'AGAPE DOS'!O75</f>
        <v>0</v>
      </c>
      <c r="P75" s="25">
        <f t="shared" si="10"/>
        <v>4125</v>
      </c>
      <c r="Q75" s="25"/>
    </row>
    <row r="76" spans="1:17" x14ac:dyDescent="0.3">
      <c r="A76" s="26"/>
      <c r="B76" s="27" t="s">
        <v>63</v>
      </c>
      <c r="C76" s="25"/>
      <c r="D76" s="25">
        <f>Damiano!D76+Grace!D76+'Agape Home'!D76+'AGAPE DOS'!D76</f>
        <v>0</v>
      </c>
      <c r="E76" s="25">
        <f>Damiano!E76+Grace!E76+'Agape Home'!E76+'AGAPE DOS'!E76</f>
        <v>0</v>
      </c>
      <c r="F76" s="25">
        <f>Damiano!F76+Grace!F76+'Agape Home'!F76+'AGAPE DOS'!F76</f>
        <v>0</v>
      </c>
      <c r="G76" s="25">
        <f>Damiano!G76+Grace!G76+'Agape Home'!G76+'AGAPE DOS'!G76</f>
        <v>0</v>
      </c>
      <c r="H76" s="25">
        <f>Damiano!H76+Grace!H76+'Agape Home'!H76+'AGAPE DOS'!H76</f>
        <v>0</v>
      </c>
      <c r="I76" s="25">
        <f>Damiano!I76+Grace!I76+'Agape Home'!I76+'AGAPE DOS'!I76</f>
        <v>0</v>
      </c>
      <c r="J76" s="25">
        <f>Damiano!J76+Grace!J76+'Agape Home'!J76+'AGAPE DOS'!J76</f>
        <v>0</v>
      </c>
      <c r="K76" s="25">
        <f>Damiano!K76+Grace!K76+'Agape Home'!K76+'AGAPE DOS'!K76</f>
        <v>0</v>
      </c>
      <c r="L76" s="25">
        <f>Damiano!L76+Grace!L76+'Agape Home'!L76+'AGAPE DOS'!L76</f>
        <v>0</v>
      </c>
      <c r="M76" s="25">
        <f>Damiano!M76+Grace!M76+'Agape Home'!M76+'AGAPE DOS'!M76</f>
        <v>0</v>
      </c>
      <c r="N76" s="25">
        <f>Damiano!N76+Grace!N76+'Agape Home'!N76+'AGAPE DOS'!N76</f>
        <v>0</v>
      </c>
      <c r="O76" s="25">
        <f>Damiano!O76+Grace!O76+'Agape Home'!O76+'AGAPE DOS'!O76</f>
        <v>0</v>
      </c>
      <c r="P76" s="25">
        <f t="shared" si="10"/>
        <v>0</v>
      </c>
      <c r="Q76" s="25"/>
    </row>
    <row r="77" spans="1:17" x14ac:dyDescent="0.3">
      <c r="A77" s="27" t="s">
        <v>17</v>
      </c>
      <c r="B77" s="27" t="s">
        <v>64</v>
      </c>
      <c r="C77" s="25"/>
      <c r="D77" s="25">
        <f>Damiano!D77+Grace!D77+'Agape Home'!D77+'AGAPE DOS'!D77</f>
        <v>0</v>
      </c>
      <c r="E77" s="25">
        <f>Damiano!E77+Grace!E77+'Agape Home'!E77+'AGAPE DOS'!E77</f>
        <v>0</v>
      </c>
      <c r="F77" s="25">
        <f>Damiano!F77+Grace!F77+'Agape Home'!F77+'AGAPE DOS'!F77</f>
        <v>0</v>
      </c>
      <c r="G77" s="25">
        <f>Damiano!G77+Grace!G77+'Agape Home'!G77+'AGAPE DOS'!G77</f>
        <v>0</v>
      </c>
      <c r="H77" s="25">
        <f>Damiano!H77+Grace!H77+'Agape Home'!H77+'AGAPE DOS'!H77</f>
        <v>0</v>
      </c>
      <c r="I77" s="25">
        <f>Damiano!I77+Grace!I77+'Agape Home'!I77+'AGAPE DOS'!I77</f>
        <v>0</v>
      </c>
      <c r="J77" s="25">
        <f>Damiano!J77+Grace!J77+'Agape Home'!J77+'AGAPE DOS'!J77</f>
        <v>0</v>
      </c>
      <c r="K77" s="25">
        <f>Damiano!K77+Grace!K77+'Agape Home'!K77+'AGAPE DOS'!K77</f>
        <v>0</v>
      </c>
      <c r="L77" s="25">
        <f>Damiano!L77+Grace!L77+'Agape Home'!L77+'AGAPE DOS'!L77</f>
        <v>0</v>
      </c>
      <c r="M77" s="25">
        <f>Damiano!M77+Grace!M77+'Agape Home'!M77+'AGAPE DOS'!M77</f>
        <v>0</v>
      </c>
      <c r="N77" s="25">
        <f>Damiano!N77+Grace!N77+'Agape Home'!N77+'AGAPE DOS'!N77</f>
        <v>0</v>
      </c>
      <c r="O77" s="25">
        <f>Damiano!O77+Grace!O77+'Agape Home'!O77+'AGAPE DOS'!O77</f>
        <v>0</v>
      </c>
      <c r="P77" s="25">
        <f t="shared" si="10"/>
        <v>0</v>
      </c>
      <c r="Q77" s="25"/>
    </row>
    <row r="78" spans="1:17" x14ac:dyDescent="0.3">
      <c r="A78" s="26"/>
      <c r="B78" s="27" t="s">
        <v>65</v>
      </c>
      <c r="C78" s="25"/>
      <c r="D78" s="25">
        <f>Damiano!D78+Grace!D78+'Agape Home'!D78+'AGAPE DOS'!D78</f>
        <v>0</v>
      </c>
      <c r="E78" s="25">
        <f>Damiano!E78+Grace!E78+'Agape Home'!E78+'AGAPE DOS'!E78</f>
        <v>0</v>
      </c>
      <c r="F78" s="25">
        <f>Damiano!F78+Grace!F78+'Agape Home'!F78+'AGAPE DOS'!F78</f>
        <v>0</v>
      </c>
      <c r="G78" s="25">
        <f>Damiano!G78+Grace!G78+'Agape Home'!G78+'AGAPE DOS'!G78</f>
        <v>0</v>
      </c>
      <c r="H78" s="25">
        <f>Damiano!H78+Grace!H78+'Agape Home'!H78+'AGAPE DOS'!H78</f>
        <v>0</v>
      </c>
      <c r="I78" s="25">
        <f>Damiano!I78+Grace!I78+'Agape Home'!I78+'AGAPE DOS'!I78</f>
        <v>0</v>
      </c>
      <c r="J78" s="25">
        <f>Damiano!J78+Grace!J78+'Agape Home'!J78+'AGAPE DOS'!J78</f>
        <v>0</v>
      </c>
      <c r="K78" s="25">
        <f>Damiano!K78+Grace!K78+'Agape Home'!K78+'AGAPE DOS'!K78</f>
        <v>0</v>
      </c>
      <c r="L78" s="25">
        <f>Damiano!L78+Grace!L78+'Agape Home'!L78+'AGAPE DOS'!L78</f>
        <v>0</v>
      </c>
      <c r="M78" s="25">
        <f>Damiano!M78+Grace!M78+'Agape Home'!M78+'AGAPE DOS'!M78</f>
        <v>0</v>
      </c>
      <c r="N78" s="25">
        <f>Damiano!N78+Grace!N78+'Agape Home'!N78+'AGAPE DOS'!N78</f>
        <v>0</v>
      </c>
      <c r="O78" s="25">
        <f>Damiano!O78+Grace!O78+'Agape Home'!O78+'AGAPE DOS'!O78</f>
        <v>0</v>
      </c>
      <c r="P78" s="25">
        <f t="shared" si="10"/>
        <v>0</v>
      </c>
      <c r="Q78" s="25"/>
    </row>
    <row r="79" spans="1:17" x14ac:dyDescent="0.3">
      <c r="A79" s="26"/>
      <c r="B79" s="26"/>
      <c r="C79" s="25"/>
      <c r="D79" s="25">
        <f>Damiano!D79+Grace!D79+'Agape Home'!D79+'AGAPE DOS'!D79</f>
        <v>0</v>
      </c>
      <c r="E79" s="25">
        <f>Damiano!E79+Grace!E79+'Agape Home'!E79+'AGAPE DOS'!E79</f>
        <v>0</v>
      </c>
      <c r="F79" s="25">
        <f>Damiano!F79+Grace!F79+'Agape Home'!F79+'AGAPE DOS'!F79</f>
        <v>0</v>
      </c>
      <c r="G79" s="25">
        <f>Damiano!G79+Grace!G79+'Agape Home'!G79+'AGAPE DOS'!G79</f>
        <v>0</v>
      </c>
      <c r="H79" s="25">
        <f>Damiano!H79+Grace!H79+'Agape Home'!H79+'AGAPE DOS'!H79</f>
        <v>0</v>
      </c>
      <c r="I79" s="25">
        <f>Damiano!I79+Grace!I79+'Agape Home'!I79+'AGAPE DOS'!I79</f>
        <v>0</v>
      </c>
      <c r="J79" s="25">
        <f>Damiano!J79+Grace!J79+'Agape Home'!J79+'AGAPE DOS'!J79</f>
        <v>0</v>
      </c>
      <c r="K79" s="25">
        <f>Damiano!K79+Grace!K79+'Agape Home'!K79+'AGAPE DOS'!K79</f>
        <v>0</v>
      </c>
      <c r="L79" s="25">
        <f>Damiano!L79+Grace!L79+'Agape Home'!L79+'AGAPE DOS'!L79</f>
        <v>0</v>
      </c>
      <c r="M79" s="25">
        <f>Damiano!M79+Grace!M79+'Agape Home'!M79+'AGAPE DOS'!M79</f>
        <v>0</v>
      </c>
      <c r="N79" s="25">
        <f>Damiano!N79+Grace!N79+'Agape Home'!N79+'AGAPE DOS'!N79</f>
        <v>0</v>
      </c>
      <c r="O79" s="25">
        <f>Damiano!O79+Grace!O79+'Agape Home'!O79+'AGAPE DOS'!O79</f>
        <v>0</v>
      </c>
      <c r="P79" s="25">
        <f t="shared" si="10"/>
        <v>0</v>
      </c>
      <c r="Q79" s="25"/>
    </row>
    <row r="80" spans="1:17" x14ac:dyDescent="0.3">
      <c r="A80" s="26"/>
      <c r="B80" s="27"/>
      <c r="C80" s="25"/>
      <c r="D80" s="25">
        <f>Damiano!D80+Grace!D80+'Agape Home'!D80+'AGAPE DOS'!D80</f>
        <v>0</v>
      </c>
      <c r="E80" s="25">
        <f>Damiano!E80+Grace!E80+'Agape Home'!E80+'AGAPE DOS'!E80</f>
        <v>0</v>
      </c>
      <c r="F80" s="25">
        <f>Damiano!F80+Grace!F80+'Agape Home'!F80+'AGAPE DOS'!F80</f>
        <v>0</v>
      </c>
      <c r="G80" s="25">
        <f>Damiano!G80+Grace!G80+'Agape Home'!G80+'AGAPE DOS'!G80</f>
        <v>0</v>
      </c>
      <c r="H80" s="25">
        <f>Damiano!H80+Grace!H80+'Agape Home'!H80+'AGAPE DOS'!H80</f>
        <v>0</v>
      </c>
      <c r="I80" s="25">
        <f>Damiano!I80+Grace!I80+'Agape Home'!I80+'AGAPE DOS'!I80</f>
        <v>0</v>
      </c>
      <c r="J80" s="25">
        <f>Damiano!J80+Grace!J80+'Agape Home'!J80+'AGAPE DOS'!J80</f>
        <v>0</v>
      </c>
      <c r="K80" s="25">
        <f>Damiano!K80+Grace!K80+'Agape Home'!K80+'AGAPE DOS'!K80</f>
        <v>0</v>
      </c>
      <c r="L80" s="25">
        <f>Damiano!L80+Grace!L80+'Agape Home'!L80+'AGAPE DOS'!L80</f>
        <v>0</v>
      </c>
      <c r="M80" s="25">
        <f>Damiano!M80+Grace!M80+'Agape Home'!M80+'AGAPE DOS'!M80</f>
        <v>0</v>
      </c>
      <c r="N80" s="25">
        <f>Damiano!N80+Grace!N80+'Agape Home'!N80+'AGAPE DOS'!N80</f>
        <v>0</v>
      </c>
      <c r="O80" s="25">
        <f>Damiano!O80+Grace!O80+'Agape Home'!O80+'AGAPE DOS'!O80</f>
        <v>0</v>
      </c>
      <c r="P80" s="25">
        <f t="shared" si="10"/>
        <v>0</v>
      </c>
      <c r="Q80" s="25"/>
    </row>
    <row r="81" spans="1:17" x14ac:dyDescent="0.3">
      <c r="A81" s="26"/>
      <c r="B81" s="27"/>
      <c r="C81" s="25"/>
      <c r="D81" s="25">
        <f>Damiano!D81+Grace!D81+'Agape Home'!D81+'AGAPE DOS'!D81</f>
        <v>0</v>
      </c>
      <c r="E81" s="25">
        <f>Damiano!E81+Grace!E81+'Agape Home'!E81+'AGAPE DOS'!E81</f>
        <v>0</v>
      </c>
      <c r="F81" s="25">
        <f>Damiano!F81+Grace!F81+'Agape Home'!F81+'AGAPE DOS'!F81</f>
        <v>0</v>
      </c>
      <c r="G81" s="25">
        <f>Damiano!G81+Grace!G81+'Agape Home'!G81+'AGAPE DOS'!G81</f>
        <v>0</v>
      </c>
      <c r="H81" s="25">
        <f>Damiano!H81+Grace!H81+'Agape Home'!H81+'AGAPE DOS'!H81</f>
        <v>0</v>
      </c>
      <c r="I81" s="25">
        <f>Damiano!I81+Grace!I81+'Agape Home'!I81+'AGAPE DOS'!I81</f>
        <v>0</v>
      </c>
      <c r="J81" s="25">
        <f>Damiano!J81+Grace!J81+'Agape Home'!J81+'AGAPE DOS'!J81</f>
        <v>0</v>
      </c>
      <c r="K81" s="25">
        <f>Damiano!K81+Grace!K81+'Agape Home'!K81+'AGAPE DOS'!K81</f>
        <v>0</v>
      </c>
      <c r="L81" s="25">
        <f>Damiano!L81+Grace!L81+'Agape Home'!L81+'AGAPE DOS'!L81</f>
        <v>0</v>
      </c>
      <c r="M81" s="25">
        <f>Damiano!M81+Grace!M81+'Agape Home'!M81+'AGAPE DOS'!M81</f>
        <v>0</v>
      </c>
      <c r="N81" s="25">
        <f>Damiano!N81+Grace!N81+'Agape Home'!N81+'AGAPE DOS'!N81</f>
        <v>0</v>
      </c>
      <c r="O81" s="25">
        <f>Damiano!O81+Grace!O81+'Agape Home'!O81+'AGAPE DOS'!O81</f>
        <v>0</v>
      </c>
      <c r="P81" s="25">
        <f t="shared" si="10"/>
        <v>0</v>
      </c>
      <c r="Q81" s="25"/>
    </row>
    <row r="82" spans="1:17" x14ac:dyDescent="0.3">
      <c r="A82" s="26"/>
      <c r="B82" s="27"/>
      <c r="C82" s="25"/>
      <c r="D82" s="25">
        <f>Damiano!D82+Grace!D82+'Agape Home'!D82+'AGAPE DOS'!D82</f>
        <v>0</v>
      </c>
      <c r="E82" s="25">
        <f>Damiano!E82+Grace!E82+'Agape Home'!E82+'AGAPE DOS'!E82</f>
        <v>0</v>
      </c>
      <c r="F82" s="25">
        <f>Damiano!F82+Grace!F82+'Agape Home'!F82+'AGAPE DOS'!F82</f>
        <v>0</v>
      </c>
      <c r="G82" s="25">
        <f>Damiano!G82+Grace!G82+'Agape Home'!G82+'AGAPE DOS'!G82</f>
        <v>0</v>
      </c>
      <c r="H82" s="25">
        <f>Damiano!H82+Grace!H82+'Agape Home'!H82+'AGAPE DOS'!H82</f>
        <v>0</v>
      </c>
      <c r="I82" s="25">
        <f>Damiano!I82+Grace!I82+'Agape Home'!I82+'AGAPE DOS'!I82</f>
        <v>0</v>
      </c>
      <c r="J82" s="25">
        <f>Damiano!J82+Grace!J82+'Agape Home'!J82+'AGAPE DOS'!J82</f>
        <v>0</v>
      </c>
      <c r="K82" s="25">
        <f>Damiano!K82+Grace!K82+'Agape Home'!K82+'AGAPE DOS'!K82</f>
        <v>0</v>
      </c>
      <c r="L82" s="25">
        <f>Damiano!L82+Grace!L82+'Agape Home'!L82+'AGAPE DOS'!L82</f>
        <v>0</v>
      </c>
      <c r="M82" s="25">
        <f>Damiano!M82+Grace!M82+'Agape Home'!M82+'AGAPE DOS'!M82</f>
        <v>0</v>
      </c>
      <c r="N82" s="25">
        <f>Damiano!N82+Grace!N82+'Agape Home'!N82+'AGAPE DOS'!N82</f>
        <v>0</v>
      </c>
      <c r="O82" s="25">
        <f>Damiano!O82+Grace!O82+'Agape Home'!O82+'AGAPE DOS'!O82</f>
        <v>0</v>
      </c>
      <c r="P82" s="25">
        <f t="shared" si="10"/>
        <v>0</v>
      </c>
      <c r="Q82" s="25"/>
    </row>
    <row r="83" spans="1:17" x14ac:dyDescent="0.3">
      <c r="A83" s="26"/>
      <c r="B83" s="27"/>
      <c r="C83" s="25"/>
      <c r="D83" s="25">
        <f>Damiano!D83+Grace!D83+'Agape Home'!D83+'AGAPE DOS'!D83</f>
        <v>0</v>
      </c>
      <c r="E83" s="25">
        <f>Damiano!E83+Grace!E83+'Agape Home'!E83+'AGAPE DOS'!E83</f>
        <v>0</v>
      </c>
      <c r="F83" s="25">
        <f>Damiano!F83+Grace!F83+'Agape Home'!F83+'AGAPE DOS'!F83</f>
        <v>0</v>
      </c>
      <c r="G83" s="25">
        <f>Damiano!G83+Grace!G83+'Agape Home'!G83+'AGAPE DOS'!G83</f>
        <v>0</v>
      </c>
      <c r="H83" s="25">
        <f>Damiano!H83+Grace!H83+'Agape Home'!H83+'AGAPE DOS'!H83</f>
        <v>0</v>
      </c>
      <c r="I83" s="25">
        <f>Damiano!I83+Grace!I83+'Agape Home'!I83+'AGAPE DOS'!I83</f>
        <v>0</v>
      </c>
      <c r="J83" s="25">
        <f>Damiano!J83+Grace!J83+'Agape Home'!J83+'AGAPE DOS'!J83</f>
        <v>0</v>
      </c>
      <c r="K83" s="25">
        <f>Damiano!K83+Grace!K83+'Agape Home'!K83+'AGAPE DOS'!K83</f>
        <v>0</v>
      </c>
      <c r="L83" s="25">
        <f>Damiano!L83+Grace!L83+'Agape Home'!L83+'AGAPE DOS'!L83</f>
        <v>0</v>
      </c>
      <c r="M83" s="25">
        <f>Damiano!M83+Grace!M83+'Agape Home'!M83+'AGAPE DOS'!M83</f>
        <v>0</v>
      </c>
      <c r="N83" s="25">
        <f>Damiano!N83+Grace!N83+'Agape Home'!N83+'AGAPE DOS'!N83</f>
        <v>0</v>
      </c>
      <c r="O83" s="25">
        <f>Damiano!O83+Grace!O83+'Agape Home'!O83+'AGAPE DOS'!O83</f>
        <v>0</v>
      </c>
      <c r="P83" s="25">
        <f t="shared" si="10"/>
        <v>0</v>
      </c>
      <c r="Q83" s="25"/>
    </row>
    <row r="84" spans="1:17" x14ac:dyDescent="0.3">
      <c r="A84" s="194" t="s">
        <v>66</v>
      </c>
      <c r="B84" s="194"/>
      <c r="C84" s="25"/>
      <c r="D84" s="28">
        <f>SUM(D56:D83)</f>
        <v>438</v>
      </c>
      <c r="E84" s="28">
        <f t="shared" ref="E84:P84" si="11">SUM(E56:E83)</f>
        <v>438</v>
      </c>
      <c r="F84" s="28">
        <f t="shared" si="11"/>
        <v>438</v>
      </c>
      <c r="G84" s="28">
        <f t="shared" si="11"/>
        <v>438</v>
      </c>
      <c r="H84" s="28">
        <f t="shared" si="11"/>
        <v>438</v>
      </c>
      <c r="I84" s="28">
        <f t="shared" si="11"/>
        <v>1188</v>
      </c>
      <c r="J84" s="28">
        <f t="shared" si="11"/>
        <v>438</v>
      </c>
      <c r="K84" s="28">
        <f t="shared" si="11"/>
        <v>438</v>
      </c>
      <c r="L84" s="28">
        <f t="shared" si="11"/>
        <v>3063</v>
      </c>
      <c r="M84" s="28">
        <f t="shared" si="11"/>
        <v>1938</v>
      </c>
      <c r="N84" s="28">
        <f t="shared" si="11"/>
        <v>438</v>
      </c>
      <c r="O84" s="28">
        <f t="shared" si="11"/>
        <v>438</v>
      </c>
      <c r="P84" s="28">
        <f t="shared" si="11"/>
        <v>10131</v>
      </c>
      <c r="Q84" s="29">
        <f>SUM(P55:P83)-P84</f>
        <v>0</v>
      </c>
    </row>
    <row r="85" spans="1:17" x14ac:dyDescent="0.3">
      <c r="A85" s="194" t="s">
        <v>67</v>
      </c>
      <c r="B85" s="19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x14ac:dyDescent="0.3">
      <c r="A86" s="26"/>
      <c r="B86" s="27" t="s">
        <v>68</v>
      </c>
      <c r="C86" s="25"/>
      <c r="D86" s="25">
        <f>Damiano!D86+Grace!D86+'Agape Home'!D86+'AGAPE DOS'!D86</f>
        <v>1175</v>
      </c>
      <c r="E86" s="25">
        <f>Damiano!E86+Grace!E86+'Agape Home'!E86+'AGAPE DOS'!E86</f>
        <v>1475</v>
      </c>
      <c r="F86" s="25">
        <f>Damiano!F86+Grace!F86+'Agape Home'!F86+'AGAPE DOS'!F86</f>
        <v>1200</v>
      </c>
      <c r="G86" s="25">
        <f>Damiano!G86+Grace!G86+'Agape Home'!G86+'AGAPE DOS'!G86</f>
        <v>725</v>
      </c>
      <c r="H86" s="25">
        <f>Damiano!H86+Grace!H86+'Agape Home'!H86+'AGAPE DOS'!H86</f>
        <v>725</v>
      </c>
      <c r="I86" s="25">
        <f>Damiano!I86+Grace!I86+'Agape Home'!I86+'AGAPE DOS'!I86</f>
        <v>975</v>
      </c>
      <c r="J86" s="25">
        <f>Damiano!J86+Grace!J86+'Agape Home'!J86+'AGAPE DOS'!J86</f>
        <v>1225</v>
      </c>
      <c r="K86" s="25">
        <f>Damiano!K86+Grace!K86+'Agape Home'!K86+'AGAPE DOS'!K86</f>
        <v>1300</v>
      </c>
      <c r="L86" s="25">
        <f>Damiano!L86+Grace!L86+'Agape Home'!L86+'AGAPE DOS'!L86</f>
        <v>950</v>
      </c>
      <c r="M86" s="25">
        <f>Damiano!M86+Grace!M86+'Agape Home'!M86+'AGAPE DOS'!M86</f>
        <v>800</v>
      </c>
      <c r="N86" s="25">
        <f>Damiano!N86+Grace!N86+'Agape Home'!N86+'AGAPE DOS'!N86</f>
        <v>700</v>
      </c>
      <c r="O86" s="25">
        <f>Damiano!O86+Grace!O86+'Agape Home'!O86+'AGAPE DOS'!O86</f>
        <v>625</v>
      </c>
      <c r="P86" s="25">
        <f t="shared" ref="P86:P104" si="12">SUM(D86:O86)</f>
        <v>11875</v>
      </c>
      <c r="Q86" s="25"/>
    </row>
    <row r="87" spans="1:17" x14ac:dyDescent="0.3">
      <c r="A87" s="26"/>
      <c r="B87" s="27" t="s">
        <v>69</v>
      </c>
      <c r="C87" s="25"/>
      <c r="D87" s="25">
        <f>Damiano!D87+Grace!D87+'Agape Home'!D87+'AGAPE DOS'!D87</f>
        <v>565</v>
      </c>
      <c r="E87" s="25">
        <f>Damiano!E87+Grace!E87+'Agape Home'!E87+'AGAPE DOS'!E87</f>
        <v>590</v>
      </c>
      <c r="F87" s="25">
        <f>Damiano!F87+Grace!F87+'Agape Home'!F87+'AGAPE DOS'!F87</f>
        <v>565</v>
      </c>
      <c r="G87" s="25">
        <f>Damiano!G87+Grace!G87+'Agape Home'!G87+'AGAPE DOS'!G87</f>
        <v>405</v>
      </c>
      <c r="H87" s="25">
        <f>Damiano!H87+Grace!H87+'Agape Home'!H87+'AGAPE DOS'!H87</f>
        <v>380</v>
      </c>
      <c r="I87" s="25">
        <f>Damiano!I87+Grace!I87+'Agape Home'!I87+'AGAPE DOS'!I87</f>
        <v>375</v>
      </c>
      <c r="J87" s="25">
        <f>Damiano!J87+Grace!J87+'Agape Home'!J87+'AGAPE DOS'!J87</f>
        <v>425</v>
      </c>
      <c r="K87" s="25">
        <f>Damiano!K87+Grace!K87+'Agape Home'!K87+'AGAPE DOS'!K87</f>
        <v>425</v>
      </c>
      <c r="L87" s="25">
        <f>Damiano!L87+Grace!L87+'Agape Home'!L87+'AGAPE DOS'!L87</f>
        <v>475</v>
      </c>
      <c r="M87" s="25">
        <f>Damiano!M87+Grace!M87+'Agape Home'!M87+'AGAPE DOS'!M87</f>
        <v>525</v>
      </c>
      <c r="N87" s="25">
        <f>Damiano!N87+Grace!N87+'Agape Home'!N87+'AGAPE DOS'!N87</f>
        <v>525</v>
      </c>
      <c r="O87" s="25">
        <f>Damiano!O87+Grace!O87+'Agape Home'!O87+'AGAPE DOS'!O87</f>
        <v>575</v>
      </c>
      <c r="P87" s="25">
        <f t="shared" si="12"/>
        <v>5830</v>
      </c>
      <c r="Q87" s="25"/>
    </row>
    <row r="88" spans="1:17" x14ac:dyDescent="0.3">
      <c r="A88" s="26"/>
      <c r="B88" s="27" t="s">
        <v>70</v>
      </c>
      <c r="C88" s="25"/>
      <c r="D88" s="25">
        <f>Damiano!D88+Grace!D88+'Agape Home'!D88+'AGAPE DOS'!D88</f>
        <v>950</v>
      </c>
      <c r="E88" s="25">
        <f>Damiano!E88+Grace!E88+'Agape Home'!E88+'AGAPE DOS'!E88</f>
        <v>850</v>
      </c>
      <c r="F88" s="25">
        <f>Damiano!F88+Grace!F88+'Agape Home'!F88+'AGAPE DOS'!F88</f>
        <v>650</v>
      </c>
      <c r="G88" s="25">
        <f>Damiano!G88+Grace!G88+'Agape Home'!G88+'AGAPE DOS'!G88</f>
        <v>575</v>
      </c>
      <c r="H88" s="25">
        <f>Damiano!H88+Grace!H88+'Agape Home'!H88+'AGAPE DOS'!H88</f>
        <v>950</v>
      </c>
      <c r="I88" s="25">
        <f>Damiano!I88+Grace!I88+'Agape Home'!I88+'AGAPE DOS'!I88</f>
        <v>650</v>
      </c>
      <c r="J88" s="25">
        <f>Damiano!J88+Grace!J88+'Agape Home'!J88+'AGAPE DOS'!J88</f>
        <v>675</v>
      </c>
      <c r="K88" s="25">
        <f>Damiano!K88+Grace!K88+'Agape Home'!K88+'AGAPE DOS'!K88</f>
        <v>675</v>
      </c>
      <c r="L88" s="25">
        <f>Damiano!L88+Grace!L88+'Agape Home'!L88+'AGAPE DOS'!L88</f>
        <v>725</v>
      </c>
      <c r="M88" s="25">
        <f>Damiano!M88+Grace!M88+'Agape Home'!M88+'AGAPE DOS'!M88</f>
        <v>675</v>
      </c>
      <c r="N88" s="25">
        <f>Damiano!N88+Grace!N88+'Agape Home'!N88+'AGAPE DOS'!N88</f>
        <v>625</v>
      </c>
      <c r="O88" s="25">
        <f>Damiano!O88+Grace!O88+'Agape Home'!O88+'AGAPE DOS'!O88</f>
        <v>675</v>
      </c>
      <c r="P88" s="25">
        <f t="shared" si="12"/>
        <v>8675</v>
      </c>
      <c r="Q88" s="25"/>
    </row>
    <row r="89" spans="1:17" x14ac:dyDescent="0.3">
      <c r="A89" s="26"/>
      <c r="B89" s="27" t="s">
        <v>71</v>
      </c>
      <c r="C89" s="25"/>
      <c r="D89" s="25">
        <f>Damiano!D89+Grace!D89+'Agape Home'!D89+'AGAPE DOS'!D89</f>
        <v>1407.6666666666667</v>
      </c>
      <c r="E89" s="25">
        <f>Damiano!E89+Grace!E89+'Agape Home'!E89+'AGAPE DOS'!E89</f>
        <v>1407.6666666666667</v>
      </c>
      <c r="F89" s="25">
        <f>Damiano!F89+Grace!F89+'Agape Home'!F89+'AGAPE DOS'!F89</f>
        <v>1407.6666666666667</v>
      </c>
      <c r="G89" s="25">
        <f>Damiano!G89+Grace!G89+'Agape Home'!G89+'AGAPE DOS'!G89</f>
        <v>1407.6666666666667</v>
      </c>
      <c r="H89" s="25">
        <f>Damiano!H89+Grace!H89+'Agape Home'!H89+'AGAPE DOS'!H89</f>
        <v>1407.6666666666667</v>
      </c>
      <c r="I89" s="25">
        <f>Damiano!I89+Grace!I89+'Agape Home'!I89+'AGAPE DOS'!I89</f>
        <v>1407.6666666666667</v>
      </c>
      <c r="J89" s="25">
        <f>Damiano!J89+Grace!J89+'Agape Home'!J89+'AGAPE DOS'!J89</f>
        <v>1407.6666666666667</v>
      </c>
      <c r="K89" s="25">
        <f>Damiano!K89+Grace!K89+'Agape Home'!K89+'AGAPE DOS'!K89</f>
        <v>1407.6666666666667</v>
      </c>
      <c r="L89" s="25">
        <f>Damiano!L89+Grace!L89+'Agape Home'!L89+'AGAPE DOS'!L89</f>
        <v>1407.6666666666667</v>
      </c>
      <c r="M89" s="25">
        <f>Damiano!M89+Grace!M89+'Agape Home'!M89+'AGAPE DOS'!M89</f>
        <v>1407.6666666666667</v>
      </c>
      <c r="N89" s="25">
        <f>Damiano!N89+Grace!N89+'Agape Home'!N89+'AGAPE DOS'!N89</f>
        <v>1407.6666666666667</v>
      </c>
      <c r="O89" s="25">
        <f>Damiano!O89+Grace!O89+'Agape Home'!O89+'AGAPE DOS'!O89</f>
        <v>1407.6666666666667</v>
      </c>
      <c r="P89" s="25">
        <f t="shared" si="12"/>
        <v>16891.999999999996</v>
      </c>
      <c r="Q89" s="25"/>
    </row>
    <row r="90" spans="1:17" x14ac:dyDescent="0.3">
      <c r="A90" s="26"/>
      <c r="B90" s="27" t="s">
        <v>72</v>
      </c>
      <c r="C90" s="25"/>
      <c r="D90" s="25">
        <f>Damiano!D90+Grace!D90+'Agape Home'!D90+'AGAPE DOS'!D90</f>
        <v>0</v>
      </c>
      <c r="E90" s="25">
        <f>Damiano!E90+Grace!E90+'Agape Home'!E90+'AGAPE DOS'!E90</f>
        <v>0</v>
      </c>
      <c r="F90" s="25">
        <f>Damiano!F90+Grace!F90+'Agape Home'!F90+'AGAPE DOS'!F90</f>
        <v>0</v>
      </c>
      <c r="G90" s="25">
        <f>Damiano!G90+Grace!G90+'Agape Home'!G90+'AGAPE DOS'!G90</f>
        <v>0</v>
      </c>
      <c r="H90" s="25">
        <f>Damiano!H90+Grace!H90+'Agape Home'!H90+'AGAPE DOS'!H90</f>
        <v>0</v>
      </c>
      <c r="I90" s="25">
        <f>Damiano!I90+Grace!I90+'Agape Home'!I90+'AGAPE DOS'!I90</f>
        <v>0</v>
      </c>
      <c r="J90" s="25">
        <f>Damiano!J90+Grace!J90+'Agape Home'!J90+'AGAPE DOS'!J90</f>
        <v>0</v>
      </c>
      <c r="K90" s="25">
        <f>Damiano!K90+Grace!K90+'Agape Home'!K90+'AGAPE DOS'!K90</f>
        <v>0</v>
      </c>
      <c r="L90" s="25">
        <f>Damiano!L90+Grace!L90+'Agape Home'!L90+'AGAPE DOS'!L90</f>
        <v>0</v>
      </c>
      <c r="M90" s="25">
        <f>Damiano!M90+Grace!M90+'Agape Home'!M90+'AGAPE DOS'!M90</f>
        <v>0</v>
      </c>
      <c r="N90" s="25">
        <f>Damiano!N90+Grace!N90+'Agape Home'!N90+'AGAPE DOS'!N90</f>
        <v>0</v>
      </c>
      <c r="O90" s="25">
        <f>Damiano!O90+Grace!O90+'Agape Home'!O90+'AGAPE DOS'!O90</f>
        <v>0</v>
      </c>
      <c r="P90" s="25">
        <f t="shared" si="12"/>
        <v>0</v>
      </c>
      <c r="Q90" s="25"/>
    </row>
    <row r="91" spans="1:17" x14ac:dyDescent="0.3">
      <c r="A91" s="26"/>
      <c r="B91" s="27" t="s">
        <v>73</v>
      </c>
      <c r="C91" s="25"/>
      <c r="D91" s="25">
        <f>Damiano!D91+Grace!D91+'Agape Home'!D91+'AGAPE DOS'!D91</f>
        <v>0</v>
      </c>
      <c r="E91" s="25">
        <f>Damiano!E91+Grace!E91+'Agape Home'!E91+'AGAPE DOS'!E91</f>
        <v>0</v>
      </c>
      <c r="F91" s="25">
        <f>Damiano!F91+Grace!F91+'Agape Home'!F91+'AGAPE DOS'!F91</f>
        <v>0</v>
      </c>
      <c r="G91" s="25">
        <f>Damiano!G91+Grace!G91+'Agape Home'!G91+'AGAPE DOS'!G91</f>
        <v>0</v>
      </c>
      <c r="H91" s="25">
        <f>Damiano!H91+Grace!H91+'Agape Home'!H91+'AGAPE DOS'!H91</f>
        <v>0</v>
      </c>
      <c r="I91" s="25">
        <f>Damiano!I91+Grace!I91+'Agape Home'!I91+'AGAPE DOS'!I91</f>
        <v>0</v>
      </c>
      <c r="J91" s="25">
        <f>Damiano!J91+Grace!J91+'Agape Home'!J91+'AGAPE DOS'!J91</f>
        <v>0</v>
      </c>
      <c r="K91" s="25">
        <f>Damiano!K91+Grace!K91+'Agape Home'!K91+'AGAPE DOS'!K91</f>
        <v>0</v>
      </c>
      <c r="L91" s="25">
        <f>Damiano!L91+Grace!L91+'Agape Home'!L91+'AGAPE DOS'!L91</f>
        <v>0</v>
      </c>
      <c r="M91" s="25">
        <f>Damiano!M91+Grace!M91+'Agape Home'!M91+'AGAPE DOS'!M91</f>
        <v>0</v>
      </c>
      <c r="N91" s="25">
        <f>Damiano!N91+Grace!N91+'Agape Home'!N91+'AGAPE DOS'!N91</f>
        <v>0</v>
      </c>
      <c r="O91" s="25">
        <f>Damiano!O91+Grace!O91+'Agape Home'!O91+'AGAPE DOS'!O91</f>
        <v>0</v>
      </c>
      <c r="P91" s="25">
        <f t="shared" si="12"/>
        <v>0</v>
      </c>
      <c r="Q91" s="25"/>
    </row>
    <row r="92" spans="1:17" x14ac:dyDescent="0.3">
      <c r="A92" s="26"/>
      <c r="B92" s="27" t="s">
        <v>74</v>
      </c>
      <c r="C92" s="25"/>
      <c r="D92" s="25">
        <f>Damiano!D92+Grace!D92+'Agape Home'!D92+'AGAPE DOS'!D92</f>
        <v>150</v>
      </c>
      <c r="E92" s="25">
        <f>Damiano!E92+Grace!E92+'Agape Home'!E92+'AGAPE DOS'!E92</f>
        <v>150</v>
      </c>
      <c r="F92" s="25">
        <f>Damiano!F92+Grace!F92+'Agape Home'!F92+'AGAPE DOS'!F92</f>
        <v>150</v>
      </c>
      <c r="G92" s="25">
        <f>Damiano!G92+Grace!G92+'Agape Home'!G92+'AGAPE DOS'!G92</f>
        <v>150</v>
      </c>
      <c r="H92" s="25">
        <f>Damiano!H92+Grace!H92+'Agape Home'!H92+'AGAPE DOS'!H92</f>
        <v>150</v>
      </c>
      <c r="I92" s="25">
        <f>Damiano!I92+Grace!I92+'Agape Home'!I92+'AGAPE DOS'!I92</f>
        <v>150</v>
      </c>
      <c r="J92" s="25">
        <f>Damiano!J92+Grace!J92+'Agape Home'!J92+'AGAPE DOS'!J92</f>
        <v>150</v>
      </c>
      <c r="K92" s="25">
        <f>Damiano!K92+Grace!K92+'Agape Home'!K92+'AGAPE DOS'!K92</f>
        <v>150</v>
      </c>
      <c r="L92" s="25">
        <f>Damiano!L92+Grace!L92+'Agape Home'!L92+'AGAPE DOS'!L92</f>
        <v>150</v>
      </c>
      <c r="M92" s="25">
        <f>Damiano!M92+Grace!M92+'Agape Home'!M92+'AGAPE DOS'!M92</f>
        <v>150</v>
      </c>
      <c r="N92" s="25">
        <f>Damiano!N92+Grace!N92+'Agape Home'!N92+'AGAPE DOS'!N92</f>
        <v>150</v>
      </c>
      <c r="O92" s="25">
        <f>Damiano!O92+Grace!O92+'Agape Home'!O92+'AGAPE DOS'!O92</f>
        <v>150</v>
      </c>
      <c r="P92" s="25">
        <f t="shared" si="12"/>
        <v>1800</v>
      </c>
      <c r="Q92" s="25"/>
    </row>
    <row r="93" spans="1:17" x14ac:dyDescent="0.3">
      <c r="A93" s="26"/>
      <c r="B93" s="27" t="s">
        <v>75</v>
      </c>
      <c r="C93" s="25"/>
      <c r="D93" s="25">
        <f>Damiano!D93+Grace!D93+'Agape Home'!D93+'AGAPE DOS'!D93</f>
        <v>0</v>
      </c>
      <c r="E93" s="25">
        <f>Damiano!E93+Grace!E93+'Agape Home'!E93+'AGAPE DOS'!E93</f>
        <v>0</v>
      </c>
      <c r="F93" s="25">
        <f>Damiano!F93+Grace!F93+'Agape Home'!F93+'AGAPE DOS'!F93</f>
        <v>0</v>
      </c>
      <c r="G93" s="25">
        <f>Damiano!G93+Grace!G93+'Agape Home'!G93+'AGAPE DOS'!G93</f>
        <v>0</v>
      </c>
      <c r="H93" s="25">
        <f>Damiano!H93+Grace!H93+'Agape Home'!H93+'AGAPE DOS'!H93</f>
        <v>0</v>
      </c>
      <c r="I93" s="25">
        <f>Damiano!I93+Grace!I93+'Agape Home'!I93+'AGAPE DOS'!I93</f>
        <v>0</v>
      </c>
      <c r="J93" s="25">
        <f>Damiano!J93+Grace!J93+'Agape Home'!J93+'AGAPE DOS'!J93</f>
        <v>0</v>
      </c>
      <c r="K93" s="25">
        <f>Damiano!K93+Grace!K93+'Agape Home'!K93+'AGAPE DOS'!K93</f>
        <v>0</v>
      </c>
      <c r="L93" s="25">
        <f>Damiano!L93+Grace!L93+'Agape Home'!L93+'AGAPE DOS'!L93</f>
        <v>0</v>
      </c>
      <c r="M93" s="25">
        <f>Damiano!M93+Grace!M93+'Agape Home'!M93+'AGAPE DOS'!M93</f>
        <v>0</v>
      </c>
      <c r="N93" s="25">
        <f>Damiano!N93+Grace!N93+'Agape Home'!N93+'AGAPE DOS'!N93</f>
        <v>0</v>
      </c>
      <c r="O93" s="25">
        <f>Damiano!O93+Grace!O93+'Agape Home'!O93+'AGAPE DOS'!O93</f>
        <v>0</v>
      </c>
      <c r="P93" s="25">
        <f t="shared" si="12"/>
        <v>0</v>
      </c>
      <c r="Q93" s="25"/>
    </row>
    <row r="94" spans="1:17" x14ac:dyDescent="0.3">
      <c r="A94" s="26"/>
      <c r="B94" s="27" t="s">
        <v>76</v>
      </c>
      <c r="C94" s="25"/>
      <c r="D94" s="25">
        <f>Damiano!D94+Grace!D94+'Agape Home'!D94+'AGAPE DOS'!D94</f>
        <v>0</v>
      </c>
      <c r="E94" s="25">
        <f>Damiano!E94+Grace!E94+'Agape Home'!E94+'AGAPE DOS'!E94</f>
        <v>0</v>
      </c>
      <c r="F94" s="25">
        <f>Damiano!F94+Grace!F94+'Agape Home'!F94+'AGAPE DOS'!F94</f>
        <v>0</v>
      </c>
      <c r="G94" s="25">
        <f>Damiano!G94+Grace!G94+'Agape Home'!G94+'AGAPE DOS'!G94</f>
        <v>0</v>
      </c>
      <c r="H94" s="25">
        <f>Damiano!H94+Grace!H94+'Agape Home'!H94+'AGAPE DOS'!H94</f>
        <v>0</v>
      </c>
      <c r="I94" s="25">
        <f>Damiano!I94+Grace!I94+'Agape Home'!I94+'AGAPE DOS'!I94</f>
        <v>0</v>
      </c>
      <c r="J94" s="25">
        <f>Damiano!J94+Grace!J94+'Agape Home'!J94+'AGAPE DOS'!J94</f>
        <v>0</v>
      </c>
      <c r="K94" s="25">
        <f>Damiano!K94+Grace!K94+'Agape Home'!K94+'AGAPE DOS'!K94</f>
        <v>0</v>
      </c>
      <c r="L94" s="25">
        <f>Damiano!L94+Grace!L94+'Agape Home'!L94+'AGAPE DOS'!L94</f>
        <v>0</v>
      </c>
      <c r="M94" s="25">
        <f>Damiano!M94+Grace!M94+'Agape Home'!M94+'AGAPE DOS'!M94</f>
        <v>0</v>
      </c>
      <c r="N94" s="25">
        <f>Damiano!N94+Grace!N94+'Agape Home'!N94+'AGAPE DOS'!N94</f>
        <v>0</v>
      </c>
      <c r="O94" s="25">
        <f>Damiano!O94+Grace!O94+'Agape Home'!O94+'AGAPE DOS'!O94</f>
        <v>0</v>
      </c>
      <c r="P94" s="25">
        <f t="shared" si="12"/>
        <v>0</v>
      </c>
      <c r="Q94" s="25"/>
    </row>
    <row r="95" spans="1:17" x14ac:dyDescent="0.3">
      <c r="A95" s="26"/>
      <c r="B95" s="27" t="s">
        <v>77</v>
      </c>
      <c r="C95" s="25"/>
      <c r="D95" s="25">
        <f>Damiano!D95+Grace!D95+'Agape Home'!D95+'AGAPE DOS'!D95</f>
        <v>0</v>
      </c>
      <c r="E95" s="25">
        <f>Damiano!E95+Grace!E95+'Agape Home'!E95+'AGAPE DOS'!E95</f>
        <v>0</v>
      </c>
      <c r="F95" s="25">
        <f>Damiano!F95+Grace!F95+'Agape Home'!F95+'AGAPE DOS'!F95</f>
        <v>0</v>
      </c>
      <c r="G95" s="25">
        <f>Damiano!G95+Grace!G95+'Agape Home'!G95+'AGAPE DOS'!G95</f>
        <v>0</v>
      </c>
      <c r="H95" s="25">
        <f>Damiano!H95+Grace!H95+'Agape Home'!H95+'AGAPE DOS'!H95</f>
        <v>0</v>
      </c>
      <c r="I95" s="25">
        <f>Damiano!I95+Grace!I95+'Agape Home'!I95+'AGAPE DOS'!I95</f>
        <v>0</v>
      </c>
      <c r="J95" s="25">
        <f>Damiano!J95+Grace!J95+'Agape Home'!J95+'AGAPE DOS'!J95</f>
        <v>0</v>
      </c>
      <c r="K95" s="25">
        <f>Damiano!K95+Grace!K95+'Agape Home'!K95+'AGAPE DOS'!K95</f>
        <v>0</v>
      </c>
      <c r="L95" s="25">
        <f>Damiano!L95+Grace!L95+'Agape Home'!L95+'AGAPE DOS'!L95</f>
        <v>0</v>
      </c>
      <c r="M95" s="25">
        <f>Damiano!M95+Grace!M95+'Agape Home'!M95+'AGAPE DOS'!M95</f>
        <v>0</v>
      </c>
      <c r="N95" s="25">
        <f>Damiano!N95+Grace!N95+'Agape Home'!N95+'AGAPE DOS'!N95</f>
        <v>0</v>
      </c>
      <c r="O95" s="25">
        <f>Damiano!O95+Grace!O95+'Agape Home'!O95+'AGAPE DOS'!O95</f>
        <v>0</v>
      </c>
      <c r="P95" s="25">
        <f t="shared" si="12"/>
        <v>0</v>
      </c>
      <c r="Q95" s="25"/>
    </row>
    <row r="96" spans="1:17" x14ac:dyDescent="0.3">
      <c r="A96" s="26"/>
      <c r="B96" s="27" t="s">
        <v>78</v>
      </c>
      <c r="C96" s="25"/>
      <c r="D96" s="25">
        <f>Damiano!D96+Grace!D96+'Agape Home'!D96+'AGAPE DOS'!D96</f>
        <v>0</v>
      </c>
      <c r="E96" s="25">
        <f>Damiano!E96+Grace!E96+'Agape Home'!E96+'AGAPE DOS'!E96</f>
        <v>0</v>
      </c>
      <c r="F96" s="25">
        <f>Damiano!F96+Grace!F96+'Agape Home'!F96+'AGAPE DOS'!F96</f>
        <v>0</v>
      </c>
      <c r="G96" s="25">
        <f>Damiano!G96+Grace!G96+'Agape Home'!G96+'AGAPE DOS'!G96</f>
        <v>0</v>
      </c>
      <c r="H96" s="25">
        <f>Damiano!H96+Grace!H96+'Agape Home'!H96+'AGAPE DOS'!H96</f>
        <v>0</v>
      </c>
      <c r="I96" s="25">
        <f>Damiano!I96+Grace!I96+'Agape Home'!I96+'AGAPE DOS'!I96</f>
        <v>0</v>
      </c>
      <c r="J96" s="25">
        <f>Damiano!J96+Grace!J96+'Agape Home'!J96+'AGAPE DOS'!J96</f>
        <v>0</v>
      </c>
      <c r="K96" s="25">
        <f>Damiano!K96+Grace!K96+'Agape Home'!K96+'AGAPE DOS'!K96</f>
        <v>0</v>
      </c>
      <c r="L96" s="25">
        <f>Damiano!L96+Grace!L96+'Agape Home'!L96+'AGAPE DOS'!L96</f>
        <v>0</v>
      </c>
      <c r="M96" s="25">
        <f>Damiano!M96+Grace!M96+'Agape Home'!M96+'AGAPE DOS'!M96</f>
        <v>0</v>
      </c>
      <c r="N96" s="25">
        <f>Damiano!N96+Grace!N96+'Agape Home'!N96+'AGAPE DOS'!N96</f>
        <v>0</v>
      </c>
      <c r="O96" s="25">
        <f>Damiano!O96+Grace!O96+'Agape Home'!O96+'AGAPE DOS'!O96</f>
        <v>0</v>
      </c>
      <c r="P96" s="25">
        <f t="shared" si="12"/>
        <v>0</v>
      </c>
      <c r="Q96" s="25"/>
    </row>
    <row r="97" spans="1:17" x14ac:dyDescent="0.3">
      <c r="A97" s="26"/>
      <c r="B97" s="27" t="s">
        <v>79</v>
      </c>
      <c r="C97" s="25"/>
      <c r="D97" s="25">
        <f>Damiano!D97+Grace!D97+'Agape Home'!D97+'AGAPE DOS'!D97</f>
        <v>2250</v>
      </c>
      <c r="E97" s="25">
        <f>Damiano!E97+Grace!E97+'Agape Home'!E97+'AGAPE DOS'!E97</f>
        <v>2250</v>
      </c>
      <c r="F97" s="25">
        <f>Damiano!F97+Grace!F97+'Agape Home'!F97+'AGAPE DOS'!F97</f>
        <v>2250</v>
      </c>
      <c r="G97" s="25">
        <f>Damiano!G97+Grace!G97+'Agape Home'!G97+'AGAPE DOS'!G97</f>
        <v>2100</v>
      </c>
      <c r="H97" s="25">
        <f>Damiano!H97+Grace!H97+'Agape Home'!H97+'AGAPE DOS'!H97</f>
        <v>2100</v>
      </c>
      <c r="I97" s="25">
        <f>Damiano!I97+Grace!I97+'Agape Home'!I97+'AGAPE DOS'!I97</f>
        <v>2100</v>
      </c>
      <c r="J97" s="25">
        <f>Damiano!J97+Grace!J97+'Agape Home'!J97+'AGAPE DOS'!J97</f>
        <v>2100</v>
      </c>
      <c r="K97" s="25">
        <f>Damiano!K97+Grace!K97+'Agape Home'!K97+'AGAPE DOS'!K97</f>
        <v>2100</v>
      </c>
      <c r="L97" s="25">
        <f>Damiano!L97+Grace!L97+'Agape Home'!L97+'AGAPE DOS'!L97</f>
        <v>2100</v>
      </c>
      <c r="M97" s="25">
        <f>Damiano!M97+Grace!M97+'Agape Home'!M97+'AGAPE DOS'!M97</f>
        <v>2100</v>
      </c>
      <c r="N97" s="25">
        <f>Damiano!N97+Grace!N97+'Agape Home'!N97+'AGAPE DOS'!N97</f>
        <v>2100</v>
      </c>
      <c r="O97" s="25">
        <f>Damiano!O97+Grace!O97+'Agape Home'!O97+'AGAPE DOS'!O97</f>
        <v>2100</v>
      </c>
      <c r="P97" s="25">
        <f t="shared" si="12"/>
        <v>25650</v>
      </c>
      <c r="Q97" s="25"/>
    </row>
    <row r="98" spans="1:17" x14ac:dyDescent="0.3">
      <c r="A98" s="26"/>
      <c r="B98" s="27" t="s">
        <v>80</v>
      </c>
      <c r="C98" s="25"/>
      <c r="D98" s="25">
        <f>Damiano!D98+Grace!D98+'Agape Home'!D98+'AGAPE DOS'!D98</f>
        <v>0</v>
      </c>
      <c r="E98" s="25">
        <f>Damiano!E98+Grace!E98+'Agape Home'!E98+'AGAPE DOS'!E98</f>
        <v>0</v>
      </c>
      <c r="F98" s="25">
        <f>Damiano!F98+Grace!F98+'Agape Home'!F98+'AGAPE DOS'!F98</f>
        <v>0</v>
      </c>
      <c r="G98" s="25">
        <f>Damiano!G98+Grace!G98+'Agape Home'!G98+'AGAPE DOS'!G98</f>
        <v>0</v>
      </c>
      <c r="H98" s="25">
        <f>Damiano!H98+Grace!H98+'Agape Home'!H98+'AGAPE DOS'!H98</f>
        <v>0</v>
      </c>
      <c r="I98" s="25">
        <f>Damiano!I98+Grace!I98+'Agape Home'!I98+'AGAPE DOS'!I98</f>
        <v>0</v>
      </c>
      <c r="J98" s="25">
        <f>Damiano!J98+Grace!J98+'Agape Home'!J98+'AGAPE DOS'!J98</f>
        <v>0</v>
      </c>
      <c r="K98" s="25">
        <f>Damiano!K98+Grace!K98+'Agape Home'!K98+'AGAPE DOS'!K98</f>
        <v>0</v>
      </c>
      <c r="L98" s="25">
        <f>Damiano!L98+Grace!L98+'Agape Home'!L98+'AGAPE DOS'!L98</f>
        <v>0</v>
      </c>
      <c r="M98" s="25">
        <f>Damiano!M98+Grace!M98+'Agape Home'!M98+'AGAPE DOS'!M98</f>
        <v>0</v>
      </c>
      <c r="N98" s="25">
        <f>Damiano!N98+Grace!N98+'Agape Home'!N98+'AGAPE DOS'!N98</f>
        <v>0</v>
      </c>
      <c r="O98" s="25">
        <f>Damiano!O98+Grace!O98+'Agape Home'!O98+'AGAPE DOS'!O98</f>
        <v>0</v>
      </c>
      <c r="P98" s="25">
        <f t="shared" si="12"/>
        <v>0</v>
      </c>
      <c r="Q98" s="25"/>
    </row>
    <row r="99" spans="1:17" x14ac:dyDescent="0.3">
      <c r="A99" s="26"/>
      <c r="B99" s="27" t="s">
        <v>81</v>
      </c>
      <c r="C99" s="25"/>
      <c r="D99" s="25">
        <f>Damiano!D99+Grace!D99+'Agape Home'!D99+'AGAPE DOS'!D99</f>
        <v>0</v>
      </c>
      <c r="E99" s="25">
        <f>Damiano!E99+Grace!E99+'Agape Home'!E99+'AGAPE DOS'!E99</f>
        <v>0</v>
      </c>
      <c r="F99" s="25">
        <f>Damiano!F99+Grace!F99+'Agape Home'!F99+'AGAPE DOS'!F99</f>
        <v>0</v>
      </c>
      <c r="G99" s="25">
        <f>Damiano!G99+Grace!G99+'Agape Home'!G99+'AGAPE DOS'!G99</f>
        <v>0</v>
      </c>
      <c r="H99" s="25">
        <f>Damiano!H99+Grace!H99+'Agape Home'!H99+'AGAPE DOS'!H99</f>
        <v>0</v>
      </c>
      <c r="I99" s="25">
        <f>Damiano!I99+Grace!I99+'Agape Home'!I99+'AGAPE DOS'!I99</f>
        <v>0</v>
      </c>
      <c r="J99" s="25">
        <f>Damiano!J99+Grace!J99+'Agape Home'!J99+'AGAPE DOS'!J99</f>
        <v>0</v>
      </c>
      <c r="K99" s="25">
        <f>Damiano!K99+Grace!K99+'Agape Home'!K99+'AGAPE DOS'!K99</f>
        <v>0</v>
      </c>
      <c r="L99" s="25">
        <f>Damiano!L99+Grace!L99+'Agape Home'!L99+'AGAPE DOS'!L99</f>
        <v>0</v>
      </c>
      <c r="M99" s="25">
        <f>Damiano!M99+Grace!M99+'Agape Home'!M99+'AGAPE DOS'!M99</f>
        <v>0</v>
      </c>
      <c r="N99" s="25">
        <f>Damiano!N99+Grace!N99+'Agape Home'!N99+'AGAPE DOS'!N99</f>
        <v>0</v>
      </c>
      <c r="O99" s="25">
        <f>Damiano!O99+Grace!O99+'Agape Home'!O99+'AGAPE DOS'!O99</f>
        <v>0</v>
      </c>
      <c r="P99" s="25">
        <f t="shared" si="12"/>
        <v>0</v>
      </c>
      <c r="Q99" s="25"/>
    </row>
    <row r="100" spans="1:17" x14ac:dyDescent="0.3">
      <c r="A100" s="26"/>
      <c r="B100" s="27" t="s">
        <v>82</v>
      </c>
      <c r="C100" s="25"/>
      <c r="D100" s="25">
        <f>Damiano!D100+Grace!D100+'Agape Home'!D100+'AGAPE DOS'!D100</f>
        <v>0</v>
      </c>
      <c r="E100" s="25">
        <f>Damiano!E100+Grace!E100+'Agape Home'!E100+'AGAPE DOS'!E100</f>
        <v>0</v>
      </c>
      <c r="F100" s="25">
        <f>Damiano!F100+Grace!F100+'Agape Home'!F100+'AGAPE DOS'!F100</f>
        <v>0</v>
      </c>
      <c r="G100" s="25">
        <f>Damiano!G100+Grace!G100+'Agape Home'!G100+'AGAPE DOS'!G100</f>
        <v>1200</v>
      </c>
      <c r="H100" s="25">
        <f>Damiano!H100+Grace!H100+'Agape Home'!H100+'AGAPE DOS'!H100</f>
        <v>0</v>
      </c>
      <c r="I100" s="25">
        <f>Damiano!I100+Grace!I100+'Agape Home'!I100+'AGAPE DOS'!I100</f>
        <v>0</v>
      </c>
      <c r="J100" s="25">
        <f>Damiano!J100+Grace!J100+'Agape Home'!J100+'AGAPE DOS'!J100</f>
        <v>0</v>
      </c>
      <c r="K100" s="25">
        <f>Damiano!K100+Grace!K100+'Agape Home'!K100+'AGAPE DOS'!K100</f>
        <v>0</v>
      </c>
      <c r="L100" s="25">
        <f>Damiano!L100+Grace!L100+'Agape Home'!L100+'AGAPE DOS'!L100</f>
        <v>0</v>
      </c>
      <c r="M100" s="25">
        <f>Damiano!M100+Grace!M100+'Agape Home'!M100+'AGAPE DOS'!M100</f>
        <v>0</v>
      </c>
      <c r="N100" s="25">
        <f>Damiano!N100+Grace!N100+'Agape Home'!N100+'AGAPE DOS'!N100</f>
        <v>0</v>
      </c>
      <c r="O100" s="25">
        <f>Damiano!O100+Grace!O100+'Agape Home'!O100+'AGAPE DOS'!O100</f>
        <v>0</v>
      </c>
      <c r="P100" s="25">
        <f t="shared" si="12"/>
        <v>1200</v>
      </c>
      <c r="Q100" s="25"/>
    </row>
    <row r="101" spans="1:17" x14ac:dyDescent="0.3">
      <c r="A101" s="26"/>
      <c r="B101" s="27" t="s">
        <v>83</v>
      </c>
      <c r="C101" s="25"/>
      <c r="D101" s="25">
        <f>Damiano!D101+Grace!D101+'Agape Home'!D101+'AGAPE DOS'!D101</f>
        <v>0</v>
      </c>
      <c r="E101" s="25">
        <f>Damiano!E101+Grace!E101+'Agape Home'!E101+'AGAPE DOS'!E101</f>
        <v>0</v>
      </c>
      <c r="F101" s="25">
        <f>Damiano!F101+Grace!F101+'Agape Home'!F101+'AGAPE DOS'!F101</f>
        <v>0</v>
      </c>
      <c r="G101" s="25">
        <f>Damiano!G101+Grace!G101+'Agape Home'!G101+'AGAPE DOS'!G101</f>
        <v>0</v>
      </c>
      <c r="H101" s="25">
        <f>Damiano!H101+Grace!H101+'Agape Home'!H101+'AGAPE DOS'!H101</f>
        <v>0</v>
      </c>
      <c r="I101" s="25">
        <f>Damiano!I101+Grace!I101+'Agape Home'!I101+'AGAPE DOS'!I101</f>
        <v>0</v>
      </c>
      <c r="J101" s="25">
        <f>Damiano!J101+Grace!J101+'Agape Home'!J101+'AGAPE DOS'!J101</f>
        <v>0</v>
      </c>
      <c r="K101" s="25">
        <f>Damiano!K101+Grace!K101+'Agape Home'!K101+'AGAPE DOS'!K101</f>
        <v>0</v>
      </c>
      <c r="L101" s="25">
        <f>Damiano!L101+Grace!L101+'Agape Home'!L101+'AGAPE DOS'!L101</f>
        <v>0</v>
      </c>
      <c r="M101" s="25">
        <f>Damiano!M101+Grace!M101+'Agape Home'!M101+'AGAPE DOS'!M101</f>
        <v>0</v>
      </c>
      <c r="N101" s="25">
        <f>Damiano!N101+Grace!N101+'Agape Home'!N101+'AGAPE DOS'!N101</f>
        <v>0</v>
      </c>
      <c r="O101" s="25">
        <f>Damiano!O101+Grace!O101+'Agape Home'!O101+'AGAPE DOS'!O101</f>
        <v>0</v>
      </c>
      <c r="P101" s="25">
        <f t="shared" si="12"/>
        <v>0</v>
      </c>
      <c r="Q101" s="25"/>
    </row>
    <row r="102" spans="1:17" x14ac:dyDescent="0.3">
      <c r="A102" s="26"/>
      <c r="B102" s="26"/>
      <c r="C102" s="25"/>
      <c r="D102" s="25">
        <f>Damiano!D102+Grace!D102+'Agape Home'!D102+'AGAPE DOS'!D102</f>
        <v>0</v>
      </c>
      <c r="E102" s="25">
        <f>Damiano!E102+Grace!E102+'Agape Home'!E102+'AGAPE DOS'!E102</f>
        <v>0</v>
      </c>
      <c r="F102" s="25">
        <f>Damiano!F102+Grace!F102+'Agape Home'!F102+'AGAPE DOS'!F102</f>
        <v>0</v>
      </c>
      <c r="G102" s="25">
        <f>Damiano!G102+Grace!G102+'Agape Home'!G102+'AGAPE DOS'!G102</f>
        <v>0</v>
      </c>
      <c r="H102" s="25">
        <f>Damiano!H102+Grace!H102+'Agape Home'!H102+'AGAPE DOS'!H102</f>
        <v>0</v>
      </c>
      <c r="I102" s="25">
        <f>Damiano!I102+Grace!I102+'Agape Home'!I102+'AGAPE DOS'!I102</f>
        <v>0</v>
      </c>
      <c r="J102" s="25">
        <f>Damiano!J102+Grace!J102+'Agape Home'!J102+'AGAPE DOS'!J102</f>
        <v>0</v>
      </c>
      <c r="K102" s="25">
        <f>Damiano!K102+Grace!K102+'Agape Home'!K102+'AGAPE DOS'!K102</f>
        <v>0</v>
      </c>
      <c r="L102" s="25">
        <f>Damiano!L102+Grace!L102+'Agape Home'!L102+'AGAPE DOS'!L102</f>
        <v>0</v>
      </c>
      <c r="M102" s="25">
        <f>Damiano!M102+Grace!M102+'Agape Home'!M102+'AGAPE DOS'!M102</f>
        <v>0</v>
      </c>
      <c r="N102" s="25">
        <f>Damiano!N102+Grace!N102+'Agape Home'!N102+'AGAPE DOS'!N102</f>
        <v>0</v>
      </c>
      <c r="O102" s="25">
        <f>Damiano!O102+Grace!O102+'Agape Home'!O102+'AGAPE DOS'!O102</f>
        <v>0</v>
      </c>
      <c r="P102" s="25">
        <f t="shared" si="12"/>
        <v>0</v>
      </c>
      <c r="Q102" s="25"/>
    </row>
    <row r="103" spans="1:17" x14ac:dyDescent="0.3">
      <c r="A103" s="26"/>
      <c r="B103" s="27"/>
      <c r="C103" s="25"/>
      <c r="D103" s="25">
        <f>Damiano!D103+Grace!D103+'Agape Home'!D103+'AGAPE DOS'!D103</f>
        <v>0</v>
      </c>
      <c r="E103" s="25">
        <f>Damiano!E103+Grace!E103+'Agape Home'!E103+'AGAPE DOS'!E103</f>
        <v>0</v>
      </c>
      <c r="F103" s="25">
        <f>Damiano!F103+Grace!F103+'Agape Home'!F103+'AGAPE DOS'!F103</f>
        <v>0</v>
      </c>
      <c r="G103" s="25">
        <f>Damiano!G103+Grace!G103+'Agape Home'!G103+'AGAPE DOS'!G103</f>
        <v>0</v>
      </c>
      <c r="H103" s="25">
        <f>Damiano!H103+Grace!H103+'Agape Home'!H103+'AGAPE DOS'!H103</f>
        <v>0</v>
      </c>
      <c r="I103" s="25">
        <f>Damiano!I103+Grace!I103+'Agape Home'!I103+'AGAPE DOS'!I103</f>
        <v>0</v>
      </c>
      <c r="J103" s="25">
        <f>Damiano!J103+Grace!J103+'Agape Home'!J103+'AGAPE DOS'!J103</f>
        <v>0</v>
      </c>
      <c r="K103" s="25">
        <f>Damiano!K103+Grace!K103+'Agape Home'!K103+'AGAPE DOS'!K103</f>
        <v>0</v>
      </c>
      <c r="L103" s="25">
        <f>Damiano!L103+Grace!L103+'Agape Home'!L103+'AGAPE DOS'!L103</f>
        <v>0</v>
      </c>
      <c r="M103" s="25">
        <f>Damiano!M103+Grace!M103+'Agape Home'!M103+'AGAPE DOS'!M103</f>
        <v>0</v>
      </c>
      <c r="N103" s="25">
        <f>Damiano!N103+Grace!N103+'Agape Home'!N103+'AGAPE DOS'!N103</f>
        <v>0</v>
      </c>
      <c r="O103" s="25">
        <f>Damiano!O103+Grace!O103+'Agape Home'!O103+'AGAPE DOS'!O103</f>
        <v>0</v>
      </c>
      <c r="P103" s="25">
        <f t="shared" si="12"/>
        <v>0</v>
      </c>
      <c r="Q103" s="25"/>
    </row>
    <row r="104" spans="1:17" x14ac:dyDescent="0.3">
      <c r="A104" s="26"/>
      <c r="B104" s="27"/>
      <c r="C104" s="25"/>
      <c r="D104" s="25">
        <f>Damiano!D104+Grace!D104+'Agape Home'!D104+'AGAPE DOS'!D104</f>
        <v>0</v>
      </c>
      <c r="E104" s="25">
        <f>Damiano!E104+Grace!E104+'Agape Home'!E104+'AGAPE DOS'!E104</f>
        <v>0</v>
      </c>
      <c r="F104" s="25">
        <f>Damiano!F104+Grace!F104+'Agape Home'!F104+'AGAPE DOS'!F104</f>
        <v>0</v>
      </c>
      <c r="G104" s="25">
        <f>Damiano!G104+Grace!G104+'Agape Home'!G104+'AGAPE DOS'!G104</f>
        <v>0</v>
      </c>
      <c r="H104" s="25">
        <f>Damiano!H104+Grace!H104+'Agape Home'!H104+'AGAPE DOS'!H104</f>
        <v>0</v>
      </c>
      <c r="I104" s="25">
        <f>Damiano!I104+Grace!I104+'Agape Home'!I104+'AGAPE DOS'!I104</f>
        <v>0</v>
      </c>
      <c r="J104" s="25">
        <f>Damiano!J104+Grace!J104+'Agape Home'!J104+'AGAPE DOS'!J104</f>
        <v>0</v>
      </c>
      <c r="K104" s="25">
        <f>Damiano!K104+Grace!K104+'Agape Home'!K104+'AGAPE DOS'!K104</f>
        <v>0</v>
      </c>
      <c r="L104" s="25">
        <f>Damiano!L104+Grace!L104+'Agape Home'!L104+'AGAPE DOS'!L104</f>
        <v>0</v>
      </c>
      <c r="M104" s="25">
        <f>Damiano!M104+Grace!M104+'Agape Home'!M104+'AGAPE DOS'!M104</f>
        <v>0</v>
      </c>
      <c r="N104" s="25">
        <f>Damiano!N104+Grace!N104+'Agape Home'!N104+'AGAPE DOS'!N104</f>
        <v>0</v>
      </c>
      <c r="O104" s="25">
        <f>Damiano!O104+Grace!O104+'Agape Home'!O104+'AGAPE DOS'!O104</f>
        <v>0</v>
      </c>
      <c r="P104" s="25">
        <f t="shared" si="12"/>
        <v>0</v>
      </c>
      <c r="Q104" s="25"/>
    </row>
    <row r="105" spans="1:17" x14ac:dyDescent="0.3">
      <c r="A105" s="194" t="s">
        <v>84</v>
      </c>
      <c r="B105" s="194"/>
      <c r="C105" s="25"/>
      <c r="D105" s="30">
        <f>SUM(D86:D104)</f>
        <v>6497.666666666667</v>
      </c>
      <c r="E105" s="30">
        <f t="shared" ref="E105:P105" si="13">SUM(E86:E104)</f>
        <v>6722.666666666667</v>
      </c>
      <c r="F105" s="30">
        <f t="shared" si="13"/>
        <v>6222.666666666667</v>
      </c>
      <c r="G105" s="30">
        <f t="shared" si="13"/>
        <v>6562.666666666667</v>
      </c>
      <c r="H105" s="30">
        <f t="shared" si="13"/>
        <v>5712.666666666667</v>
      </c>
      <c r="I105" s="30">
        <f t="shared" si="13"/>
        <v>5657.666666666667</v>
      </c>
      <c r="J105" s="30">
        <f t="shared" si="13"/>
        <v>5982.666666666667</v>
      </c>
      <c r="K105" s="30">
        <f t="shared" si="13"/>
        <v>6057.666666666667</v>
      </c>
      <c r="L105" s="30">
        <f t="shared" si="13"/>
        <v>5807.666666666667</v>
      </c>
      <c r="M105" s="30">
        <f t="shared" si="13"/>
        <v>5657.666666666667</v>
      </c>
      <c r="N105" s="30">
        <f t="shared" si="13"/>
        <v>5507.666666666667</v>
      </c>
      <c r="O105" s="30">
        <f t="shared" si="13"/>
        <v>5532.666666666667</v>
      </c>
      <c r="P105" s="30">
        <f t="shared" si="13"/>
        <v>71922</v>
      </c>
      <c r="Q105" s="29">
        <f>SUM(P86:P104)-P105</f>
        <v>0</v>
      </c>
    </row>
    <row r="106" spans="1:17" x14ac:dyDescent="0.3">
      <c r="A106" s="26"/>
      <c r="B106" s="27" t="s">
        <v>85</v>
      </c>
      <c r="C106" s="25"/>
      <c r="D106" s="30">
        <f>D105+D84+D53+D43</f>
        <v>91461.279367386669</v>
      </c>
      <c r="E106" s="30">
        <f t="shared" ref="E106:P106" si="14">E105+E84+E53+E43</f>
        <v>91686.342097957866</v>
      </c>
      <c r="F106" s="30">
        <f t="shared" si="14"/>
        <v>130294.17981360346</v>
      </c>
      <c r="G106" s="30">
        <f t="shared" si="14"/>
        <v>91526.342097957866</v>
      </c>
      <c r="H106" s="30">
        <f t="shared" si="14"/>
        <v>90676.342097957866</v>
      </c>
      <c r="I106" s="30">
        <f t="shared" si="14"/>
        <v>91371.342097957866</v>
      </c>
      <c r="J106" s="30">
        <f t="shared" si="14"/>
        <v>90946.342097957866</v>
      </c>
      <c r="K106" s="30">
        <f t="shared" si="14"/>
        <v>130129.17981360346</v>
      </c>
      <c r="L106" s="30">
        <f t="shared" si="14"/>
        <v>93396.342097957866</v>
      </c>
      <c r="M106" s="30">
        <f t="shared" si="14"/>
        <v>92121.342097957866</v>
      </c>
      <c r="N106" s="30">
        <f t="shared" si="14"/>
        <v>90471.342097957866</v>
      </c>
      <c r="O106" s="30">
        <f t="shared" si="14"/>
        <v>90496.342097957866</v>
      </c>
      <c r="P106" s="30">
        <f t="shared" si="14"/>
        <v>1174576.7178762143</v>
      </c>
      <c r="Q106" s="25"/>
    </row>
    <row r="107" spans="1:17" x14ac:dyDescent="0.3">
      <c r="A107" s="26"/>
      <c r="B107" s="27" t="s">
        <v>86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1:17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1:17" ht="15" thickBot="1" x14ac:dyDescent="0.35">
      <c r="A109" s="25"/>
      <c r="B109" s="25" t="s">
        <v>112</v>
      </c>
      <c r="C109" s="25"/>
      <c r="D109" s="31">
        <f>D32-D106-D107</f>
        <v>-9476.5073673866718</v>
      </c>
      <c r="E109" s="31">
        <f t="shared" ref="E109:P109" si="15">E32-E106-E107</f>
        <v>23898.165902042136</v>
      </c>
      <c r="F109" s="31">
        <f t="shared" si="15"/>
        <v>-47737.488813603457</v>
      </c>
      <c r="G109" s="31">
        <f t="shared" si="15"/>
        <v>-10833.152097957864</v>
      </c>
      <c r="H109" s="31">
        <f t="shared" si="15"/>
        <v>-7473.2235979578691</v>
      </c>
      <c r="I109" s="31">
        <f t="shared" si="15"/>
        <v>-10329.673097957872</v>
      </c>
      <c r="J109" s="31">
        <f t="shared" si="15"/>
        <v>-7743.2235979578691</v>
      </c>
      <c r="K109" s="31">
        <f t="shared" si="15"/>
        <v>-46926.061313603466</v>
      </c>
      <c r="L109" s="31">
        <f t="shared" si="15"/>
        <v>-12354.673097957872</v>
      </c>
      <c r="M109" s="31">
        <f t="shared" si="15"/>
        <v>-8918.2235979578691</v>
      </c>
      <c r="N109" s="31">
        <f t="shared" si="15"/>
        <v>-9429.6730979578715</v>
      </c>
      <c r="O109" s="31">
        <f t="shared" si="15"/>
        <v>-7293.2235979578691</v>
      </c>
      <c r="P109" s="31">
        <f t="shared" si="15"/>
        <v>-154616.95737621433</v>
      </c>
      <c r="Q109" s="25"/>
    </row>
    <row r="110" spans="1:17" ht="15" thickTop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0"/>
  <sheetViews>
    <sheetView workbookViewId="0">
      <pane xSplit="3" ySplit="3" topLeftCell="D35" activePane="bottomRight" state="frozen"/>
      <selection pane="topRight" activeCell="D1" sqref="D1"/>
      <selection pane="bottomLeft" activeCell="A4" sqref="A4"/>
      <selection pane="bottomRight" activeCell="D38" sqref="D38:O38"/>
    </sheetView>
  </sheetViews>
  <sheetFormatPr defaultRowHeight="14.4" x14ac:dyDescent="0.3"/>
  <cols>
    <col min="2" max="2" width="29.88671875" customWidth="1"/>
    <col min="3" max="3" width="2.44140625" customWidth="1"/>
  </cols>
  <sheetData>
    <row r="1" spans="1:22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x14ac:dyDescent="0.3">
      <c r="A3" s="25"/>
      <c r="B3" s="25"/>
      <c r="C3" s="25"/>
      <c r="D3" s="22" t="s">
        <v>100</v>
      </c>
      <c r="E3" s="22" t="s">
        <v>101</v>
      </c>
      <c r="F3" s="22" t="s">
        <v>102</v>
      </c>
      <c r="G3" s="22" t="s">
        <v>103</v>
      </c>
      <c r="H3" s="22" t="s">
        <v>104</v>
      </c>
      <c r="I3" s="22" t="s">
        <v>105</v>
      </c>
      <c r="J3" s="22" t="s">
        <v>106</v>
      </c>
      <c r="K3" s="22" t="s">
        <v>107</v>
      </c>
      <c r="L3" s="22" t="s">
        <v>108</v>
      </c>
      <c r="M3" s="22" t="s">
        <v>109</v>
      </c>
      <c r="N3" s="22" t="s">
        <v>110</v>
      </c>
      <c r="O3" s="22" t="s">
        <v>111</v>
      </c>
      <c r="P3" s="9" t="s">
        <v>113</v>
      </c>
      <c r="Q3" s="25"/>
      <c r="R3" s="25"/>
      <c r="S3" s="25"/>
      <c r="T3" s="25"/>
      <c r="U3" s="25"/>
      <c r="V3" s="25"/>
    </row>
    <row r="4" spans="1:22" x14ac:dyDescent="0.3">
      <c r="A4" s="194" t="s">
        <v>99</v>
      </c>
      <c r="B4" s="19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x14ac:dyDescent="0.3">
      <c r="A5" s="194" t="s">
        <v>1</v>
      </c>
      <c r="B5" s="19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43">
        <f t="shared" ref="P5:P10" si="0">SUM(D5:O5)</f>
        <v>0</v>
      </c>
      <c r="Q5" s="43"/>
      <c r="R5" s="25"/>
      <c r="S5" s="25"/>
      <c r="T5" s="25"/>
      <c r="U5" s="25"/>
      <c r="V5" s="25"/>
    </row>
    <row r="6" spans="1:22" x14ac:dyDescent="0.3">
      <c r="A6" s="26"/>
      <c r="B6" s="94" t="s">
        <v>2</v>
      </c>
      <c r="C6" s="25"/>
      <c r="D6" s="43">
        <f>CADI!J49</f>
        <v>23088.210999999999</v>
      </c>
      <c r="E6" s="43">
        <f>CADI!K49</f>
        <v>21370.440000000002</v>
      </c>
      <c r="F6" s="43">
        <f>CADI!L49</f>
        <v>23660.13</v>
      </c>
      <c r="G6" s="43">
        <f>CADI!M49</f>
        <v>22896.899999999998</v>
      </c>
      <c r="H6" s="43">
        <f>CADI!N49</f>
        <v>23660.13</v>
      </c>
      <c r="I6" s="43">
        <f>CADI!O49</f>
        <v>22896.899999999998</v>
      </c>
      <c r="J6" s="43">
        <f>CADI!P49</f>
        <v>23660.13</v>
      </c>
      <c r="K6" s="43">
        <f>CADI!Q49</f>
        <v>23660.13</v>
      </c>
      <c r="L6" s="43">
        <f>CADI!R49</f>
        <v>22896.899999999998</v>
      </c>
      <c r="M6" s="43">
        <f>CADI!S49</f>
        <v>23660.13</v>
      </c>
      <c r="N6" s="43">
        <f>CADI!T49</f>
        <v>22896.899999999998</v>
      </c>
      <c r="O6" s="43">
        <f>CADI!U49</f>
        <v>23660.13</v>
      </c>
      <c r="P6" s="43">
        <f t="shared" si="0"/>
        <v>278007.03100000002</v>
      </c>
      <c r="Q6" s="43"/>
      <c r="R6" s="25"/>
      <c r="S6" s="25"/>
      <c r="T6" s="25"/>
      <c r="U6" s="25"/>
      <c r="V6" s="25"/>
    </row>
    <row r="7" spans="1:22" x14ac:dyDescent="0.3">
      <c r="A7" s="26"/>
      <c r="B7" s="94" t="s">
        <v>204</v>
      </c>
      <c r="C7" s="25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>
        <f t="shared" si="0"/>
        <v>0</v>
      </c>
      <c r="Q7" s="25"/>
      <c r="R7" s="25"/>
      <c r="S7" s="25"/>
      <c r="T7" s="25"/>
      <c r="U7" s="25"/>
      <c r="V7" s="25"/>
    </row>
    <row r="8" spans="1:22" s="42" customFormat="1" x14ac:dyDescent="0.3">
      <c r="A8" s="26"/>
      <c r="B8" s="94" t="s">
        <v>205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>
        <f t="shared" si="0"/>
        <v>0</v>
      </c>
      <c r="Q8" s="43"/>
      <c r="R8" s="43"/>
      <c r="S8" s="43"/>
      <c r="T8" s="43"/>
      <c r="U8" s="43"/>
      <c r="V8" s="43"/>
    </row>
    <row r="9" spans="1:22" x14ac:dyDescent="0.3">
      <c r="A9" s="26"/>
      <c r="B9" s="94" t="s">
        <v>4</v>
      </c>
      <c r="C9" s="25"/>
      <c r="D9" s="43">
        <f>922*0.95*4</f>
        <v>3503.6</v>
      </c>
      <c r="E9" s="43">
        <f t="shared" ref="E9:O9" si="1">922*0.95*4</f>
        <v>3503.6</v>
      </c>
      <c r="F9" s="43">
        <f t="shared" si="1"/>
        <v>3503.6</v>
      </c>
      <c r="G9" s="43">
        <f t="shared" si="1"/>
        <v>3503.6</v>
      </c>
      <c r="H9" s="43">
        <f t="shared" si="1"/>
        <v>3503.6</v>
      </c>
      <c r="I9" s="43">
        <f t="shared" si="1"/>
        <v>3503.6</v>
      </c>
      <c r="J9" s="43">
        <f t="shared" si="1"/>
        <v>3503.6</v>
      </c>
      <c r="K9" s="43">
        <f t="shared" si="1"/>
        <v>3503.6</v>
      </c>
      <c r="L9" s="43">
        <f t="shared" si="1"/>
        <v>3503.6</v>
      </c>
      <c r="M9" s="43">
        <f t="shared" si="1"/>
        <v>3503.6</v>
      </c>
      <c r="N9" s="43">
        <f t="shared" si="1"/>
        <v>3503.6</v>
      </c>
      <c r="O9" s="43">
        <f t="shared" si="1"/>
        <v>3503.6</v>
      </c>
      <c r="P9" s="43">
        <f t="shared" si="0"/>
        <v>42043.19999999999</v>
      </c>
      <c r="Q9" s="25"/>
      <c r="R9" s="39">
        <f>3364/4/877</f>
        <v>0.95895096921322687</v>
      </c>
      <c r="S9" s="25"/>
      <c r="T9" s="25"/>
      <c r="U9" s="25"/>
      <c r="V9" s="25"/>
    </row>
    <row r="10" spans="1:22" s="42" customFormat="1" x14ac:dyDescent="0.3">
      <c r="A10" s="26"/>
      <c r="B10" s="94" t="s">
        <v>206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>
        <f t="shared" si="0"/>
        <v>0</v>
      </c>
      <c r="Q10" s="43"/>
      <c r="R10" s="39"/>
      <c r="S10" s="43"/>
      <c r="T10" s="43"/>
      <c r="U10" s="43"/>
      <c r="V10" s="43"/>
    </row>
    <row r="11" spans="1:22" x14ac:dyDescent="0.3">
      <c r="A11" s="26"/>
      <c r="B11" s="94" t="s">
        <v>207</v>
      </c>
      <c r="C11" s="25"/>
      <c r="D11" s="43"/>
      <c r="E11" s="43"/>
      <c r="F11" s="43"/>
      <c r="G11" s="43"/>
      <c r="H11" s="43"/>
      <c r="I11" s="43"/>
      <c r="J11" s="25"/>
      <c r="K11" s="25"/>
      <c r="L11" s="25"/>
      <c r="M11" s="25"/>
      <c r="N11" s="25"/>
      <c r="O11" s="25"/>
      <c r="P11" s="25">
        <f>SUM(D11:O11)</f>
        <v>0</v>
      </c>
      <c r="Q11" s="25"/>
      <c r="R11" s="25"/>
      <c r="S11" s="25"/>
      <c r="T11" s="25"/>
      <c r="U11" s="25"/>
      <c r="V11" s="25"/>
    </row>
    <row r="12" spans="1:22" x14ac:dyDescent="0.3">
      <c r="A12" s="194" t="s">
        <v>6</v>
      </c>
      <c r="B12" s="194"/>
      <c r="C12" s="25"/>
      <c r="D12" s="28">
        <f t="shared" ref="D12:I12" si="2">SUM(D6:D11)</f>
        <v>26591.810999999998</v>
      </c>
      <c r="E12" s="28">
        <f t="shared" si="2"/>
        <v>24874.04</v>
      </c>
      <c r="F12" s="28">
        <f t="shared" si="2"/>
        <v>27163.73</v>
      </c>
      <c r="G12" s="28">
        <f t="shared" si="2"/>
        <v>26400.499999999996</v>
      </c>
      <c r="H12" s="28">
        <f t="shared" si="2"/>
        <v>27163.73</v>
      </c>
      <c r="I12" s="28">
        <f t="shared" si="2"/>
        <v>26400.499999999996</v>
      </c>
      <c r="J12" s="28">
        <f t="shared" ref="J12:P12" si="3">SUM(J6:J11)</f>
        <v>27163.73</v>
      </c>
      <c r="K12" s="28">
        <f t="shared" si="3"/>
        <v>27163.73</v>
      </c>
      <c r="L12" s="28">
        <f t="shared" si="3"/>
        <v>26400.499999999996</v>
      </c>
      <c r="M12" s="28">
        <f t="shared" si="3"/>
        <v>27163.73</v>
      </c>
      <c r="N12" s="28">
        <f t="shared" si="3"/>
        <v>26400.499999999996</v>
      </c>
      <c r="O12" s="28">
        <f t="shared" si="3"/>
        <v>27163.73</v>
      </c>
      <c r="P12" s="28">
        <f t="shared" si="3"/>
        <v>320050.23100000003</v>
      </c>
      <c r="Q12" s="29">
        <f>P12-P6-P7-P9-P11</f>
        <v>2.1827872842550278E-11</v>
      </c>
      <c r="R12" s="25"/>
      <c r="S12" s="25"/>
      <c r="T12" s="25"/>
      <c r="U12" s="25"/>
      <c r="V12" s="25"/>
    </row>
    <row r="13" spans="1:22" x14ac:dyDescent="0.3">
      <c r="A13" s="194" t="s">
        <v>7</v>
      </c>
      <c r="B13" s="194"/>
      <c r="C13" s="25"/>
      <c r="D13" s="43"/>
      <c r="E13" s="43"/>
      <c r="F13" s="43"/>
      <c r="G13" s="43"/>
      <c r="H13" s="43"/>
      <c r="I13" s="43"/>
      <c r="J13" s="25"/>
      <c r="K13" s="25"/>
      <c r="L13" s="25"/>
      <c r="M13" s="25"/>
      <c r="N13" s="25"/>
      <c r="O13" s="25" t="s">
        <v>99</v>
      </c>
      <c r="P13" s="25"/>
      <c r="Q13" s="25"/>
      <c r="R13" s="25"/>
      <c r="S13" s="25"/>
      <c r="T13" s="25"/>
      <c r="U13" s="25"/>
      <c r="V13" s="25"/>
    </row>
    <row r="14" spans="1:22" x14ac:dyDescent="0.3">
      <c r="A14" s="26"/>
      <c r="B14" s="97" t="s">
        <v>8</v>
      </c>
      <c r="C14" s="25"/>
      <c r="D14" s="43"/>
      <c r="E14" s="43"/>
      <c r="F14" s="43"/>
      <c r="G14" s="43"/>
      <c r="H14" s="43"/>
      <c r="I14" s="43"/>
      <c r="J14" s="25"/>
      <c r="K14" s="25"/>
      <c r="L14" s="25"/>
      <c r="M14" s="25"/>
      <c r="N14" s="25"/>
      <c r="O14" s="25"/>
      <c r="P14" s="25">
        <f>SUM(D14:O14)</f>
        <v>0</v>
      </c>
      <c r="Q14" s="25"/>
      <c r="R14" s="25"/>
      <c r="S14" s="25"/>
      <c r="T14" s="25"/>
      <c r="U14" s="25"/>
      <c r="V14" s="25"/>
    </row>
    <row r="15" spans="1:22" x14ac:dyDescent="0.3">
      <c r="A15" s="26"/>
      <c r="B15" s="97" t="s">
        <v>9</v>
      </c>
      <c r="C15" s="25"/>
      <c r="D15" s="43"/>
      <c r="E15" s="43"/>
      <c r="F15" s="43"/>
      <c r="G15" s="43"/>
      <c r="H15" s="43"/>
      <c r="I15" s="43"/>
      <c r="J15" s="25"/>
      <c r="K15" s="25"/>
      <c r="L15" s="25"/>
      <c r="M15" s="25"/>
      <c r="N15" s="25"/>
      <c r="O15" s="25"/>
      <c r="P15" s="25">
        <f>SUM(D15:O15)</f>
        <v>0</v>
      </c>
      <c r="Q15" s="25"/>
      <c r="R15" s="25"/>
      <c r="S15" s="25"/>
      <c r="T15" s="25"/>
      <c r="U15" s="25"/>
      <c r="V15" s="25"/>
    </row>
    <row r="16" spans="1:22" x14ac:dyDescent="0.3">
      <c r="A16" s="26"/>
      <c r="B16" s="97" t="s">
        <v>219</v>
      </c>
      <c r="C16" s="25"/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f>SUM(D16:O16)</f>
        <v>0</v>
      </c>
      <c r="Q16" s="25"/>
      <c r="R16" s="25"/>
      <c r="S16" s="25"/>
      <c r="T16" s="25"/>
      <c r="U16" s="25"/>
      <c r="V16" s="25"/>
    </row>
    <row r="17" spans="1:22" x14ac:dyDescent="0.3">
      <c r="A17" s="26"/>
      <c r="B17" s="66" t="s">
        <v>16</v>
      </c>
      <c r="C17" s="25"/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>SUM(D17:O17)</f>
        <v>0</v>
      </c>
      <c r="Q17" s="25"/>
      <c r="R17" s="25"/>
      <c r="S17" s="25"/>
      <c r="T17" s="25"/>
      <c r="U17" s="25"/>
      <c r="V17" s="25"/>
    </row>
    <row r="18" spans="1:22" x14ac:dyDescent="0.3">
      <c r="A18" s="194" t="s">
        <v>10</v>
      </c>
      <c r="B18" s="194"/>
      <c r="C18" s="25"/>
      <c r="D18" s="28">
        <f t="shared" ref="D18:I18" si="4">SUM(D14:D17)</f>
        <v>0</v>
      </c>
      <c r="E18" s="28">
        <f t="shared" si="4"/>
        <v>0</v>
      </c>
      <c r="F18" s="28">
        <f t="shared" si="4"/>
        <v>0</v>
      </c>
      <c r="G18" s="28">
        <f t="shared" si="4"/>
        <v>0</v>
      </c>
      <c r="H18" s="28">
        <f t="shared" si="4"/>
        <v>0</v>
      </c>
      <c r="I18" s="28">
        <f t="shared" si="4"/>
        <v>0</v>
      </c>
      <c r="J18" s="28">
        <f t="shared" ref="J18:P18" si="5">SUM(J14:J17)</f>
        <v>0</v>
      </c>
      <c r="K18" s="28">
        <f t="shared" si="5"/>
        <v>0</v>
      </c>
      <c r="L18" s="28">
        <f t="shared" si="5"/>
        <v>0</v>
      </c>
      <c r="M18" s="28">
        <f t="shared" si="5"/>
        <v>0</v>
      </c>
      <c r="N18" s="28">
        <f t="shared" si="5"/>
        <v>0</v>
      </c>
      <c r="O18" s="28">
        <f t="shared" si="5"/>
        <v>0</v>
      </c>
      <c r="P18" s="28">
        <f t="shared" si="5"/>
        <v>0</v>
      </c>
      <c r="Q18" s="29">
        <f>P18-P14-P15-P16-P17</f>
        <v>0</v>
      </c>
      <c r="R18" s="25"/>
      <c r="S18" s="25"/>
      <c r="T18" s="25"/>
      <c r="U18" s="25"/>
      <c r="V18" s="25"/>
    </row>
    <row r="19" spans="1:22" x14ac:dyDescent="0.3">
      <c r="A19" s="194" t="s">
        <v>11</v>
      </c>
      <c r="B19" s="194"/>
      <c r="C19" s="25"/>
      <c r="D19" s="43"/>
      <c r="E19" s="43"/>
      <c r="F19" s="43"/>
      <c r="G19" s="43"/>
      <c r="H19" s="43"/>
      <c r="I19" s="43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x14ac:dyDescent="0.3">
      <c r="A20" s="26"/>
      <c r="B20" s="27" t="s">
        <v>12</v>
      </c>
      <c r="C20" s="25"/>
      <c r="D20" s="43"/>
      <c r="E20" s="43"/>
      <c r="F20" s="43"/>
      <c r="G20" s="43"/>
      <c r="H20" s="43"/>
      <c r="I20" s="43"/>
      <c r="J20" s="25"/>
      <c r="K20" s="25"/>
      <c r="L20" s="25"/>
      <c r="M20" s="25"/>
      <c r="N20" s="25"/>
      <c r="O20" s="25"/>
      <c r="P20" s="25">
        <f t="shared" ref="P20:P25" si="6">SUM(D20:O20)</f>
        <v>0</v>
      </c>
      <c r="Q20" s="25"/>
      <c r="R20" s="25"/>
      <c r="S20" s="25"/>
      <c r="T20" s="25"/>
      <c r="U20" s="25"/>
      <c r="V20" s="25"/>
    </row>
    <row r="21" spans="1:22" x14ac:dyDescent="0.3">
      <c r="A21" s="26"/>
      <c r="B21" s="27" t="s">
        <v>96</v>
      </c>
      <c r="C21" s="25"/>
      <c r="D21" s="43"/>
      <c r="E21" s="43"/>
      <c r="F21" s="43"/>
      <c r="G21" s="43"/>
      <c r="H21" s="43"/>
      <c r="I21" s="43"/>
      <c r="J21" s="25"/>
      <c r="K21" s="25"/>
      <c r="L21" s="25"/>
      <c r="M21" s="25"/>
      <c r="N21" s="25"/>
      <c r="O21" s="25"/>
      <c r="P21" s="25">
        <f t="shared" si="6"/>
        <v>0</v>
      </c>
      <c r="Q21" s="25"/>
      <c r="R21" s="25"/>
      <c r="S21" s="25"/>
      <c r="T21" s="25"/>
      <c r="U21" s="25"/>
      <c r="V21" s="25"/>
    </row>
    <row r="22" spans="1:22" x14ac:dyDescent="0.3">
      <c r="A22" s="26"/>
      <c r="B22" s="27" t="s">
        <v>97</v>
      </c>
      <c r="C22" s="25"/>
      <c r="D22" s="43"/>
      <c r="E22" s="43"/>
      <c r="F22" s="43"/>
      <c r="G22" s="43"/>
      <c r="H22" s="43"/>
      <c r="I22" s="43"/>
      <c r="J22" s="25"/>
      <c r="K22" s="25"/>
      <c r="L22" s="25"/>
      <c r="M22" s="25"/>
      <c r="N22" s="25"/>
      <c r="O22" s="25"/>
      <c r="P22" s="25">
        <f t="shared" si="6"/>
        <v>0</v>
      </c>
      <c r="Q22" s="25"/>
      <c r="R22" s="25"/>
      <c r="S22" s="25"/>
      <c r="T22" s="25"/>
      <c r="U22" s="25"/>
      <c r="V22" s="25"/>
    </row>
    <row r="23" spans="1:22" x14ac:dyDescent="0.3">
      <c r="A23" s="26"/>
      <c r="B23" s="27" t="s">
        <v>13</v>
      </c>
      <c r="C23" s="25"/>
      <c r="D23" s="43"/>
      <c r="E23" s="43"/>
      <c r="F23" s="43"/>
      <c r="G23" s="43"/>
      <c r="H23" s="43"/>
      <c r="I23" s="43"/>
      <c r="J23" s="25"/>
      <c r="K23" s="25"/>
      <c r="L23" s="25"/>
      <c r="M23" s="25"/>
      <c r="N23" s="25"/>
      <c r="O23" s="25"/>
      <c r="P23" s="25">
        <f t="shared" si="6"/>
        <v>0</v>
      </c>
      <c r="Q23" s="25"/>
      <c r="R23" s="25"/>
      <c r="S23" s="25"/>
      <c r="T23" s="25"/>
      <c r="U23" s="25"/>
      <c r="V23" s="25"/>
    </row>
    <row r="24" spans="1:22" x14ac:dyDescent="0.3">
      <c r="A24" s="26"/>
      <c r="B24" s="27" t="s">
        <v>14</v>
      </c>
      <c r="C24" s="25"/>
      <c r="D24" s="43"/>
      <c r="E24" s="43"/>
      <c r="F24" s="43"/>
      <c r="G24" s="43"/>
      <c r="H24" s="43"/>
      <c r="I24" s="43"/>
      <c r="J24" s="25"/>
      <c r="K24" s="25"/>
      <c r="L24" s="25"/>
      <c r="M24" s="25"/>
      <c r="N24" s="25"/>
      <c r="O24" s="25"/>
      <c r="P24" s="25">
        <f t="shared" si="6"/>
        <v>0</v>
      </c>
      <c r="Q24" s="25"/>
      <c r="R24" s="25"/>
      <c r="S24" s="25"/>
      <c r="T24" s="25"/>
      <c r="U24" s="25"/>
      <c r="V24" s="25"/>
    </row>
    <row r="25" spans="1:22" x14ac:dyDescent="0.3">
      <c r="A25" s="26"/>
      <c r="B25" s="26"/>
      <c r="C25" s="25"/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f t="shared" si="6"/>
        <v>0</v>
      </c>
      <c r="Q25" s="25"/>
      <c r="R25" s="25"/>
      <c r="S25" s="25"/>
      <c r="T25" s="25"/>
      <c r="U25" s="25"/>
      <c r="V25" s="25"/>
    </row>
    <row r="26" spans="1:22" x14ac:dyDescent="0.3">
      <c r="A26" s="194" t="s">
        <v>15</v>
      </c>
      <c r="B26" s="194"/>
      <c r="C26" s="25"/>
      <c r="D26" s="28">
        <f t="shared" ref="D26:I26" si="7">SUM(D20:D25)</f>
        <v>0</v>
      </c>
      <c r="E26" s="28">
        <f t="shared" si="7"/>
        <v>0</v>
      </c>
      <c r="F26" s="28">
        <f t="shared" si="7"/>
        <v>0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ref="J26:P26" si="8">SUM(J20:J25)</f>
        <v>0</v>
      </c>
      <c r="K26" s="28">
        <f t="shared" si="8"/>
        <v>0</v>
      </c>
      <c r="L26" s="28">
        <f t="shared" si="8"/>
        <v>0</v>
      </c>
      <c r="M26" s="28">
        <f t="shared" si="8"/>
        <v>0</v>
      </c>
      <c r="N26" s="28">
        <f t="shared" si="8"/>
        <v>0</v>
      </c>
      <c r="O26" s="28">
        <f t="shared" si="8"/>
        <v>0</v>
      </c>
      <c r="P26" s="28">
        <f t="shared" si="8"/>
        <v>0</v>
      </c>
      <c r="Q26" s="29">
        <f>SUM(P20:P25)-P26</f>
        <v>0</v>
      </c>
      <c r="R26" s="25"/>
      <c r="S26" s="25"/>
      <c r="T26" s="25"/>
      <c r="U26" s="25"/>
      <c r="V26" s="25"/>
    </row>
    <row r="27" spans="1:22" x14ac:dyDescent="0.3">
      <c r="A27" s="194" t="s">
        <v>16</v>
      </c>
      <c r="B27" s="194"/>
      <c r="C27" s="25"/>
      <c r="D27" s="43"/>
      <c r="E27" s="43"/>
      <c r="F27" s="43"/>
      <c r="G27" s="43"/>
      <c r="H27" s="43"/>
      <c r="I27" s="43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3">
      <c r="A28" s="27" t="s">
        <v>17</v>
      </c>
      <c r="B28" s="27" t="s">
        <v>18</v>
      </c>
      <c r="C28" s="25"/>
      <c r="D28" s="43"/>
      <c r="E28" s="43"/>
      <c r="F28" s="43"/>
      <c r="G28" s="43"/>
      <c r="H28" s="43"/>
      <c r="I28" s="43"/>
      <c r="J28" s="25"/>
      <c r="K28" s="25"/>
      <c r="L28" s="25"/>
      <c r="M28" s="25"/>
      <c r="N28" s="25"/>
      <c r="O28" s="25"/>
      <c r="P28" s="25">
        <f>SUM(D28:O28)</f>
        <v>0</v>
      </c>
      <c r="Q28" s="25"/>
      <c r="R28" s="25"/>
      <c r="S28" s="25"/>
      <c r="T28" s="25"/>
      <c r="U28" s="25"/>
      <c r="V28" s="25"/>
    </row>
    <row r="29" spans="1:22" x14ac:dyDescent="0.3">
      <c r="A29" s="27" t="s">
        <v>17</v>
      </c>
      <c r="B29" s="27" t="s">
        <v>19</v>
      </c>
      <c r="C29" s="25"/>
      <c r="D29" s="43"/>
      <c r="E29" s="43"/>
      <c r="F29" s="43"/>
      <c r="G29" s="43"/>
      <c r="H29" s="43"/>
      <c r="I29" s="43"/>
      <c r="J29" s="25"/>
      <c r="K29" s="25"/>
      <c r="L29" s="25"/>
      <c r="M29" s="25"/>
      <c r="N29" s="25"/>
      <c r="O29" s="25"/>
      <c r="P29" s="25">
        <f>SUM(D29:O29)</f>
        <v>0</v>
      </c>
      <c r="Q29" s="25"/>
      <c r="R29" s="25"/>
      <c r="S29" s="25"/>
      <c r="T29" s="25"/>
      <c r="U29" s="25"/>
      <c r="V29" s="25"/>
    </row>
    <row r="30" spans="1:22" x14ac:dyDescent="0.3">
      <c r="A30" s="27" t="s">
        <v>17</v>
      </c>
      <c r="B30" s="27" t="s">
        <v>20</v>
      </c>
      <c r="C30" s="25"/>
      <c r="D30" s="43"/>
      <c r="E30" s="43"/>
      <c r="F30" s="43"/>
      <c r="G30" s="43"/>
      <c r="H30" s="43"/>
      <c r="I30" s="43"/>
      <c r="J30" s="25"/>
      <c r="K30" s="25"/>
      <c r="L30" s="25"/>
      <c r="M30" s="25"/>
      <c r="N30" s="25"/>
      <c r="O30" s="25"/>
      <c r="P30" s="25">
        <f>SUM(D30:O30)</f>
        <v>0</v>
      </c>
      <c r="Q30" s="25"/>
      <c r="R30" s="25"/>
      <c r="S30" s="25"/>
      <c r="T30" s="25"/>
      <c r="U30" s="25"/>
      <c r="V30" s="25"/>
    </row>
    <row r="31" spans="1:22" x14ac:dyDescent="0.3">
      <c r="A31" s="27" t="s">
        <v>17</v>
      </c>
      <c r="B31" s="27" t="s">
        <v>21</v>
      </c>
      <c r="C31" s="25"/>
      <c r="D31" s="43"/>
      <c r="E31" s="43"/>
      <c r="F31" s="43"/>
      <c r="G31" s="43"/>
      <c r="H31" s="43"/>
      <c r="I31" s="43"/>
      <c r="J31" s="25"/>
      <c r="K31" s="25"/>
      <c r="L31" s="25"/>
      <c r="M31" s="25"/>
      <c r="N31" s="25"/>
      <c r="O31" s="25"/>
      <c r="P31" s="25">
        <f>SUM(D31:O31)</f>
        <v>0</v>
      </c>
      <c r="Q31" s="25"/>
      <c r="R31" s="25"/>
      <c r="S31" s="25"/>
      <c r="T31" s="25"/>
      <c r="U31" s="25"/>
      <c r="V31" s="25"/>
    </row>
    <row r="32" spans="1:22" x14ac:dyDescent="0.3">
      <c r="A32" s="26"/>
      <c r="B32" s="26"/>
      <c r="C32" s="25"/>
      <c r="D32" s="30">
        <f t="shared" ref="D32:I32" si="9">D12+D18+D26+D28+D29+D30+D31</f>
        <v>26591.810999999998</v>
      </c>
      <c r="E32" s="30">
        <f t="shared" si="9"/>
        <v>24874.04</v>
      </c>
      <c r="F32" s="30">
        <f t="shared" si="9"/>
        <v>27163.73</v>
      </c>
      <c r="G32" s="30">
        <f t="shared" si="9"/>
        <v>26400.499999999996</v>
      </c>
      <c r="H32" s="30">
        <f t="shared" si="9"/>
        <v>27163.73</v>
      </c>
      <c r="I32" s="30">
        <f t="shared" si="9"/>
        <v>26400.499999999996</v>
      </c>
      <c r="J32" s="30">
        <f t="shared" ref="J32:P32" si="10">J12+J18+J26+J28+J29+J30+J31</f>
        <v>27163.73</v>
      </c>
      <c r="K32" s="30">
        <f t="shared" si="10"/>
        <v>27163.73</v>
      </c>
      <c r="L32" s="30">
        <f t="shared" si="10"/>
        <v>26400.499999999996</v>
      </c>
      <c r="M32" s="30">
        <f t="shared" si="10"/>
        <v>27163.73</v>
      </c>
      <c r="N32" s="30">
        <f t="shared" si="10"/>
        <v>26400.499999999996</v>
      </c>
      <c r="O32" s="30">
        <f t="shared" si="10"/>
        <v>27163.73</v>
      </c>
      <c r="P32" s="30">
        <f t="shared" si="10"/>
        <v>320050.23100000003</v>
      </c>
      <c r="Q32" s="29">
        <f>SUM(P28:P31)*P32</f>
        <v>0</v>
      </c>
      <c r="R32" s="25"/>
      <c r="S32" s="25"/>
      <c r="T32" s="25"/>
      <c r="U32" s="25"/>
      <c r="V32" s="25"/>
    </row>
    <row r="33" spans="1:22" x14ac:dyDescent="0.3">
      <c r="A33" s="26"/>
      <c r="B33" s="26"/>
      <c r="C33" s="25"/>
      <c r="D33" s="43"/>
      <c r="E33" s="43"/>
      <c r="F33" s="43"/>
      <c r="G33" s="43"/>
      <c r="H33" s="43"/>
      <c r="I33" s="43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x14ac:dyDescent="0.3">
      <c r="A34" s="194" t="s">
        <v>22</v>
      </c>
      <c r="B34" s="194"/>
      <c r="C34" s="25"/>
      <c r="D34" s="43"/>
      <c r="E34" s="43"/>
      <c r="F34" s="43"/>
      <c r="G34" s="43"/>
      <c r="H34" s="43"/>
      <c r="I34" s="43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x14ac:dyDescent="0.3">
      <c r="A35" s="26"/>
      <c r="B35" s="27" t="s">
        <v>23</v>
      </c>
      <c r="C35" s="25"/>
      <c r="D35" s="43">
        <f>Sheet22!I82</f>
        <v>18414.590400000001</v>
      </c>
      <c r="E35" s="43">
        <f>Sheet22!J82</f>
        <v>18414.590400000001</v>
      </c>
      <c r="F35" s="43">
        <f>Sheet22!K82</f>
        <v>27621.885600000001</v>
      </c>
      <c r="G35" s="43">
        <f>Sheet22!L82</f>
        <v>18414.590400000001</v>
      </c>
      <c r="H35" s="43">
        <f>Sheet22!M82</f>
        <v>18414.590400000001</v>
      </c>
      <c r="I35" s="43">
        <f>Sheet22!N82</f>
        <v>18414.590400000001</v>
      </c>
      <c r="J35" s="43">
        <f>Sheet22!O82</f>
        <v>18414.590400000001</v>
      </c>
      <c r="K35" s="43">
        <f>Sheet22!P82</f>
        <v>27621.885600000001</v>
      </c>
      <c r="L35" s="43">
        <f>Sheet22!Q82</f>
        <v>18414.590400000001</v>
      </c>
      <c r="M35" s="43">
        <f>Sheet22!R82</f>
        <v>18414.590400000001</v>
      </c>
      <c r="N35" s="43">
        <f>Sheet22!S82</f>
        <v>18414.590400000001</v>
      </c>
      <c r="O35" s="43">
        <f>Sheet22!T82</f>
        <v>18414.590400000001</v>
      </c>
      <c r="P35" s="25">
        <f>SUM(D35:O35)</f>
        <v>239389.6752</v>
      </c>
      <c r="Q35" s="25"/>
      <c r="R35" s="25"/>
      <c r="S35" s="25"/>
      <c r="T35" s="25"/>
      <c r="U35" s="25"/>
      <c r="V35" s="25"/>
    </row>
    <row r="36" spans="1:22" x14ac:dyDescent="0.3">
      <c r="A36" s="26"/>
      <c r="B36" s="27" t="s">
        <v>24</v>
      </c>
      <c r="C36" s="25"/>
      <c r="D36" s="43">
        <f>D35*0.0735</f>
        <v>1353.4723944</v>
      </c>
      <c r="E36" s="43">
        <f t="shared" ref="E36:O36" si="11">E35*0.0735</f>
        <v>1353.4723944</v>
      </c>
      <c r="F36" s="43">
        <f t="shared" si="11"/>
        <v>2030.2085916000001</v>
      </c>
      <c r="G36" s="43">
        <f t="shared" si="11"/>
        <v>1353.4723944</v>
      </c>
      <c r="H36" s="43">
        <f t="shared" si="11"/>
        <v>1353.4723944</v>
      </c>
      <c r="I36" s="43">
        <f t="shared" si="11"/>
        <v>1353.4723944</v>
      </c>
      <c r="J36" s="43">
        <f t="shared" si="11"/>
        <v>1353.4723944</v>
      </c>
      <c r="K36" s="43">
        <f t="shared" si="11"/>
        <v>2030.2085916000001</v>
      </c>
      <c r="L36" s="43">
        <f t="shared" si="11"/>
        <v>1353.4723944</v>
      </c>
      <c r="M36" s="43">
        <f t="shared" si="11"/>
        <v>1353.4723944</v>
      </c>
      <c r="N36" s="43">
        <f t="shared" si="11"/>
        <v>1353.4723944</v>
      </c>
      <c r="O36" s="43">
        <f t="shared" si="11"/>
        <v>1353.4723944</v>
      </c>
      <c r="P36" s="25">
        <f t="shared" ref="P36:P42" si="12">SUM(D36:O36)</f>
        <v>17595.1411272</v>
      </c>
      <c r="Q36" s="25"/>
      <c r="R36" s="25"/>
      <c r="S36" s="25"/>
      <c r="T36" s="25"/>
      <c r="U36" s="25"/>
      <c r="V36" s="25"/>
    </row>
    <row r="37" spans="1:22" x14ac:dyDescent="0.3">
      <c r="A37" s="26"/>
      <c r="B37" s="27" t="s">
        <v>25</v>
      </c>
      <c r="C37" s="25"/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25">
        <f t="shared" si="12"/>
        <v>0</v>
      </c>
      <c r="Q37" s="25"/>
      <c r="R37" s="25"/>
      <c r="S37" s="25"/>
      <c r="T37" s="25"/>
      <c r="U37" s="25"/>
      <c r="V37" s="25"/>
    </row>
    <row r="38" spans="1:22" x14ac:dyDescent="0.3">
      <c r="A38" s="26"/>
      <c r="B38" s="27" t="s">
        <v>26</v>
      </c>
      <c r="C38" s="25"/>
      <c r="D38" s="43">
        <f>D35*0.12042</f>
        <v>2217.4849759680001</v>
      </c>
      <c r="E38" s="43">
        <f>E35*0.120421</f>
        <v>2217.5033905584</v>
      </c>
      <c r="F38" s="43">
        <f t="shared" ref="F38:O38" si="13">F35*0.120421</f>
        <v>3326.2550858376003</v>
      </c>
      <c r="G38" s="43">
        <f t="shared" si="13"/>
        <v>2217.5033905584</v>
      </c>
      <c r="H38" s="43">
        <f t="shared" si="13"/>
        <v>2217.5033905584</v>
      </c>
      <c r="I38" s="43">
        <f t="shared" si="13"/>
        <v>2217.5033905584</v>
      </c>
      <c r="J38" s="43">
        <f t="shared" si="13"/>
        <v>2217.5033905584</v>
      </c>
      <c r="K38" s="43">
        <f t="shared" si="13"/>
        <v>3326.2550858376003</v>
      </c>
      <c r="L38" s="43">
        <f t="shared" si="13"/>
        <v>2217.5033905584</v>
      </c>
      <c r="M38" s="43">
        <f t="shared" si="13"/>
        <v>2217.5033905584</v>
      </c>
      <c r="N38" s="43">
        <f t="shared" si="13"/>
        <v>2217.5033905584</v>
      </c>
      <c r="O38" s="43">
        <f t="shared" si="13"/>
        <v>2217.5033905584</v>
      </c>
      <c r="P38" s="25">
        <f t="shared" si="12"/>
        <v>28827.525662668799</v>
      </c>
      <c r="Q38" s="25"/>
      <c r="R38" s="25"/>
      <c r="S38" s="25"/>
      <c r="T38" s="25"/>
      <c r="U38" s="25"/>
      <c r="V38" s="25"/>
    </row>
    <row r="39" spans="1:22" x14ac:dyDescent="0.3">
      <c r="A39" s="26"/>
      <c r="B39" s="27" t="s">
        <v>27</v>
      </c>
      <c r="C39" s="25"/>
      <c r="D39" s="43">
        <f>D35*0.0112</f>
        <v>206.24341248000002</v>
      </c>
      <c r="E39" s="43">
        <f t="shared" ref="E39:O39" si="14">E35*0.0112</f>
        <v>206.24341248000002</v>
      </c>
      <c r="F39" s="43">
        <f t="shared" si="14"/>
        <v>309.36511872</v>
      </c>
      <c r="G39" s="43">
        <f t="shared" si="14"/>
        <v>206.24341248000002</v>
      </c>
      <c r="H39" s="43">
        <f t="shared" si="14"/>
        <v>206.24341248000002</v>
      </c>
      <c r="I39" s="43">
        <f t="shared" si="14"/>
        <v>206.24341248000002</v>
      </c>
      <c r="J39" s="43">
        <f t="shared" si="14"/>
        <v>206.24341248000002</v>
      </c>
      <c r="K39" s="43">
        <f t="shared" si="14"/>
        <v>309.36511872</v>
      </c>
      <c r="L39" s="43">
        <f t="shared" si="14"/>
        <v>206.24341248000002</v>
      </c>
      <c r="M39" s="43">
        <f t="shared" si="14"/>
        <v>206.24341248000002</v>
      </c>
      <c r="N39" s="43">
        <f t="shared" si="14"/>
        <v>206.24341248000002</v>
      </c>
      <c r="O39" s="43">
        <f t="shared" si="14"/>
        <v>206.24341248000002</v>
      </c>
      <c r="P39" s="25">
        <f t="shared" si="12"/>
        <v>2681.1643622400006</v>
      </c>
      <c r="Q39" s="25"/>
      <c r="R39" s="25"/>
      <c r="S39" s="25"/>
      <c r="T39" s="25"/>
      <c r="U39" s="25"/>
      <c r="V39" s="25"/>
    </row>
    <row r="40" spans="1:22" x14ac:dyDescent="0.3">
      <c r="A40" s="26"/>
      <c r="B40" s="27" t="s">
        <v>28</v>
      </c>
      <c r="C40" s="25"/>
      <c r="D40" s="43">
        <f>D35*0.028</f>
        <v>515.60853120000002</v>
      </c>
      <c r="E40" s="43">
        <f t="shared" ref="E40:O40" si="15">E35*0.028</f>
        <v>515.60853120000002</v>
      </c>
      <c r="F40" s="43">
        <f t="shared" si="15"/>
        <v>773.41279680000002</v>
      </c>
      <c r="G40" s="43">
        <f t="shared" si="15"/>
        <v>515.60853120000002</v>
      </c>
      <c r="H40" s="43">
        <f t="shared" si="15"/>
        <v>515.60853120000002</v>
      </c>
      <c r="I40" s="43">
        <f t="shared" si="15"/>
        <v>515.60853120000002</v>
      </c>
      <c r="J40" s="43">
        <f t="shared" si="15"/>
        <v>515.60853120000002</v>
      </c>
      <c r="K40" s="43">
        <f t="shared" si="15"/>
        <v>773.41279680000002</v>
      </c>
      <c r="L40" s="43">
        <f t="shared" si="15"/>
        <v>515.60853120000002</v>
      </c>
      <c r="M40" s="43">
        <f t="shared" si="15"/>
        <v>515.60853120000002</v>
      </c>
      <c r="N40" s="43">
        <f t="shared" si="15"/>
        <v>515.60853120000002</v>
      </c>
      <c r="O40" s="43">
        <f t="shared" si="15"/>
        <v>515.60853120000002</v>
      </c>
      <c r="P40" s="25">
        <f t="shared" si="12"/>
        <v>6702.9109055999979</v>
      </c>
      <c r="Q40" s="25"/>
      <c r="R40" s="25"/>
      <c r="S40" s="25"/>
      <c r="T40" s="25"/>
      <c r="U40" s="25"/>
      <c r="V40" s="25"/>
    </row>
    <row r="41" spans="1:22" x14ac:dyDescent="0.3">
      <c r="A41" s="26"/>
      <c r="B41" s="27" t="s">
        <v>29</v>
      </c>
      <c r="C41" s="25"/>
      <c r="D41" s="43">
        <f>D35*0.01373</f>
        <v>252.83232619200001</v>
      </c>
      <c r="E41" s="43">
        <f t="shared" ref="E41:O41" si="16">E35*0.01373</f>
        <v>252.83232619200001</v>
      </c>
      <c r="F41" s="43">
        <f t="shared" si="16"/>
        <v>379.24848928799997</v>
      </c>
      <c r="G41" s="43">
        <f t="shared" si="16"/>
        <v>252.83232619200001</v>
      </c>
      <c r="H41" s="43">
        <f t="shared" si="16"/>
        <v>252.83232619200001</v>
      </c>
      <c r="I41" s="43">
        <f t="shared" si="16"/>
        <v>252.83232619200001</v>
      </c>
      <c r="J41" s="43">
        <f t="shared" si="16"/>
        <v>252.83232619200001</v>
      </c>
      <c r="K41" s="43">
        <f t="shared" si="16"/>
        <v>379.24848928799997</v>
      </c>
      <c r="L41" s="43">
        <f t="shared" si="16"/>
        <v>252.83232619200001</v>
      </c>
      <c r="M41" s="43">
        <f t="shared" si="16"/>
        <v>252.83232619200001</v>
      </c>
      <c r="N41" s="43">
        <f t="shared" si="16"/>
        <v>252.83232619200001</v>
      </c>
      <c r="O41" s="43">
        <f t="shared" si="16"/>
        <v>252.83232619200001</v>
      </c>
      <c r="P41" s="25">
        <f t="shared" si="12"/>
        <v>3286.8202404959998</v>
      </c>
      <c r="Q41" s="25"/>
      <c r="R41" s="25"/>
      <c r="S41" s="25"/>
      <c r="T41" s="25"/>
      <c r="U41" s="25"/>
      <c r="V41" s="25"/>
    </row>
    <row r="42" spans="1:22" x14ac:dyDescent="0.3">
      <c r="A42" s="26"/>
      <c r="B42" s="27" t="s">
        <v>30</v>
      </c>
      <c r="C42" s="25"/>
      <c r="D42" s="43"/>
      <c r="E42" s="43"/>
      <c r="F42" s="43"/>
      <c r="G42" s="43"/>
      <c r="H42" s="43"/>
      <c r="I42" s="43"/>
      <c r="J42" s="25"/>
      <c r="K42" s="25"/>
      <c r="L42" s="25"/>
      <c r="M42" s="25"/>
      <c r="N42" s="25"/>
      <c r="O42" s="25"/>
      <c r="P42" s="25">
        <f t="shared" si="12"/>
        <v>0</v>
      </c>
      <c r="Q42" s="25"/>
      <c r="R42" s="25"/>
      <c r="S42" s="25"/>
      <c r="T42" s="25"/>
      <c r="U42" s="25"/>
      <c r="V42" s="25"/>
    </row>
    <row r="43" spans="1:22" x14ac:dyDescent="0.3">
      <c r="A43" s="194" t="s">
        <v>31</v>
      </c>
      <c r="B43" s="194"/>
      <c r="C43" s="25"/>
      <c r="D43" s="28">
        <f t="shared" ref="D43:I43" si="17">SUM(D35:D42)</f>
        <v>22960.23204024</v>
      </c>
      <c r="E43" s="28">
        <f t="shared" si="17"/>
        <v>22960.250454830399</v>
      </c>
      <c r="F43" s="28">
        <f t="shared" si="17"/>
        <v>34440.375682245605</v>
      </c>
      <c r="G43" s="28">
        <f t="shared" si="17"/>
        <v>22960.250454830399</v>
      </c>
      <c r="H43" s="28">
        <f t="shared" si="17"/>
        <v>22960.250454830399</v>
      </c>
      <c r="I43" s="28">
        <f t="shared" si="17"/>
        <v>22960.250454830399</v>
      </c>
      <c r="J43" s="28">
        <f t="shared" ref="J43:P43" si="18">SUM(J35:J42)</f>
        <v>22960.250454830399</v>
      </c>
      <c r="K43" s="28">
        <f t="shared" si="18"/>
        <v>34440.375682245605</v>
      </c>
      <c r="L43" s="28">
        <f t="shared" si="18"/>
        <v>22960.250454830399</v>
      </c>
      <c r="M43" s="28">
        <f t="shared" si="18"/>
        <v>22960.250454830399</v>
      </c>
      <c r="N43" s="28">
        <f t="shared" si="18"/>
        <v>22960.250454830399</v>
      </c>
      <c r="O43" s="28">
        <f t="shared" si="18"/>
        <v>22960.250454830399</v>
      </c>
      <c r="P43" s="28">
        <f t="shared" si="18"/>
        <v>298483.23749820481</v>
      </c>
      <c r="Q43" s="29">
        <f>SUM(P35:P42)</f>
        <v>298483.23749820481</v>
      </c>
      <c r="R43" s="25"/>
      <c r="S43" s="25"/>
      <c r="T43" s="25"/>
      <c r="U43" s="25"/>
      <c r="V43" s="25"/>
    </row>
    <row r="44" spans="1:22" x14ac:dyDescent="0.3">
      <c r="A44" s="194" t="s">
        <v>32</v>
      </c>
      <c r="B44" s="194"/>
      <c r="C44" s="25"/>
      <c r="D44" s="43"/>
      <c r="E44" s="43"/>
      <c r="F44" s="43"/>
      <c r="G44" s="43"/>
      <c r="H44" s="43"/>
      <c r="I44" s="43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1:22" x14ac:dyDescent="0.3">
      <c r="A45" s="26"/>
      <c r="B45" s="27" t="s">
        <v>33</v>
      </c>
      <c r="C45" s="25"/>
      <c r="D45" s="43">
        <v>1600</v>
      </c>
      <c r="E45" s="43">
        <v>1600</v>
      </c>
      <c r="F45" s="43">
        <v>1600</v>
      </c>
      <c r="G45" s="43">
        <v>1600</v>
      </c>
      <c r="H45" s="43">
        <v>1600</v>
      </c>
      <c r="I45" s="43">
        <v>1600</v>
      </c>
      <c r="J45" s="43">
        <v>1600</v>
      </c>
      <c r="K45" s="43">
        <v>1600</v>
      </c>
      <c r="L45" s="43">
        <v>1600</v>
      </c>
      <c r="M45" s="43">
        <v>1600</v>
      </c>
      <c r="N45" s="43">
        <v>1600</v>
      </c>
      <c r="O45" s="43">
        <v>1600</v>
      </c>
      <c r="P45" s="43">
        <f t="shared" ref="P45:P50" si="19">SUM(D45:O45)</f>
        <v>19200</v>
      </c>
      <c r="Q45" s="25" t="s">
        <v>262</v>
      </c>
      <c r="R45" s="25"/>
      <c r="S45" s="25"/>
      <c r="T45" s="25"/>
      <c r="U45" s="25"/>
      <c r="V45" s="25"/>
    </row>
    <row r="46" spans="1:22" x14ac:dyDescent="0.3">
      <c r="A46" s="26"/>
      <c r="B46" s="27" t="s">
        <v>34</v>
      </c>
      <c r="C46" s="25"/>
      <c r="D46" s="43">
        <v>200</v>
      </c>
      <c r="E46" s="43">
        <v>200</v>
      </c>
      <c r="F46" s="43">
        <v>200</v>
      </c>
      <c r="G46" s="43">
        <v>200</v>
      </c>
      <c r="H46" s="43">
        <v>200</v>
      </c>
      <c r="I46" s="43">
        <v>200</v>
      </c>
      <c r="J46" s="43">
        <v>200</v>
      </c>
      <c r="K46" s="43">
        <v>200</v>
      </c>
      <c r="L46" s="43">
        <v>200</v>
      </c>
      <c r="M46" s="43">
        <v>200</v>
      </c>
      <c r="N46" s="43">
        <v>200</v>
      </c>
      <c r="O46" s="43">
        <v>200</v>
      </c>
      <c r="P46" s="43">
        <f t="shared" si="19"/>
        <v>2400</v>
      </c>
      <c r="Q46" s="25"/>
      <c r="R46" s="25"/>
      <c r="S46" s="25"/>
      <c r="T46" s="25"/>
      <c r="U46" s="25"/>
      <c r="V46" s="25"/>
    </row>
    <row r="47" spans="1:22" x14ac:dyDescent="0.3">
      <c r="A47" s="26"/>
      <c r="B47" s="27" t="s">
        <v>35</v>
      </c>
      <c r="C47" s="25"/>
      <c r="D47" s="43">
        <v>100</v>
      </c>
      <c r="E47" s="43">
        <v>100</v>
      </c>
      <c r="F47" s="43">
        <v>100</v>
      </c>
      <c r="G47" s="43">
        <v>100</v>
      </c>
      <c r="H47" s="43">
        <v>100</v>
      </c>
      <c r="I47" s="43">
        <v>100</v>
      </c>
      <c r="J47" s="43">
        <v>100</v>
      </c>
      <c r="K47" s="43">
        <v>100</v>
      </c>
      <c r="L47" s="43">
        <v>100</v>
      </c>
      <c r="M47" s="43">
        <v>100</v>
      </c>
      <c r="N47" s="43">
        <v>100</v>
      </c>
      <c r="O47" s="43">
        <v>100</v>
      </c>
      <c r="P47" s="43">
        <f t="shared" si="19"/>
        <v>1200</v>
      </c>
      <c r="Q47" s="25"/>
      <c r="R47" s="25"/>
      <c r="S47" s="25"/>
      <c r="T47" s="25"/>
      <c r="U47" s="25"/>
      <c r="V47" s="25"/>
    </row>
    <row r="48" spans="1:22" x14ac:dyDescent="0.3">
      <c r="A48" s="26"/>
      <c r="B48" s="27" t="s">
        <v>36</v>
      </c>
      <c r="C48" s="25"/>
      <c r="D48" s="43">
        <v>50</v>
      </c>
      <c r="E48" s="43">
        <v>50</v>
      </c>
      <c r="F48" s="43">
        <v>50</v>
      </c>
      <c r="G48" s="43">
        <v>50</v>
      </c>
      <c r="H48" s="43">
        <v>50</v>
      </c>
      <c r="I48" s="43">
        <v>50</v>
      </c>
      <c r="J48" s="43">
        <v>50</v>
      </c>
      <c r="K48" s="43">
        <v>50</v>
      </c>
      <c r="L48" s="43">
        <v>50</v>
      </c>
      <c r="M48" s="43">
        <v>50</v>
      </c>
      <c r="N48" s="43">
        <v>50</v>
      </c>
      <c r="O48" s="43">
        <v>50</v>
      </c>
      <c r="P48" s="43">
        <f t="shared" si="19"/>
        <v>600</v>
      </c>
      <c r="Q48" s="25"/>
      <c r="R48" s="25"/>
      <c r="S48" s="25"/>
      <c r="T48" s="25"/>
      <c r="U48" s="25"/>
      <c r="V48" s="25"/>
    </row>
    <row r="49" spans="1:22" x14ac:dyDescent="0.3">
      <c r="A49" s="26"/>
      <c r="B49" s="27" t="s">
        <v>37</v>
      </c>
      <c r="C49" s="25"/>
      <c r="D49" s="43">
        <v>30</v>
      </c>
      <c r="E49" s="43">
        <v>30</v>
      </c>
      <c r="F49" s="43">
        <v>30</v>
      </c>
      <c r="G49" s="43">
        <v>30</v>
      </c>
      <c r="H49" s="43">
        <v>30</v>
      </c>
      <c r="I49" s="43">
        <v>30</v>
      </c>
      <c r="J49" s="43">
        <v>30</v>
      </c>
      <c r="K49" s="43">
        <v>30</v>
      </c>
      <c r="L49" s="43">
        <v>30</v>
      </c>
      <c r="M49" s="43">
        <v>30</v>
      </c>
      <c r="N49" s="43">
        <v>30</v>
      </c>
      <c r="O49" s="43">
        <v>30</v>
      </c>
      <c r="P49" s="43">
        <f t="shared" si="19"/>
        <v>360</v>
      </c>
      <c r="Q49" s="25"/>
      <c r="R49" s="25"/>
      <c r="S49" s="25"/>
      <c r="T49" s="25"/>
      <c r="U49" s="25"/>
      <c r="V49" s="25"/>
    </row>
    <row r="50" spans="1:22" s="42" customFormat="1" x14ac:dyDescent="0.3">
      <c r="A50" s="26"/>
      <c r="B50" s="92" t="s">
        <v>194</v>
      </c>
      <c r="C50" s="43"/>
      <c r="D50" s="43">
        <v>125</v>
      </c>
      <c r="E50" s="43">
        <v>125</v>
      </c>
      <c r="F50" s="43">
        <v>125</v>
      </c>
      <c r="G50" s="43">
        <v>125</v>
      </c>
      <c r="H50" s="43">
        <v>125</v>
      </c>
      <c r="I50" s="43">
        <v>125</v>
      </c>
      <c r="J50" s="43">
        <v>125</v>
      </c>
      <c r="K50" s="43">
        <v>125</v>
      </c>
      <c r="L50" s="43">
        <v>125</v>
      </c>
      <c r="M50" s="43">
        <v>125</v>
      </c>
      <c r="N50" s="43">
        <v>125</v>
      </c>
      <c r="O50" s="43">
        <v>125</v>
      </c>
      <c r="P50" s="43">
        <f t="shared" si="19"/>
        <v>1500</v>
      </c>
      <c r="Q50" s="43"/>
      <c r="R50" s="43"/>
      <c r="S50" s="43"/>
      <c r="T50" s="43"/>
      <c r="U50" s="43"/>
      <c r="V50" s="43"/>
    </row>
    <row r="51" spans="1:22" x14ac:dyDescent="0.3">
      <c r="A51" s="26"/>
      <c r="B51" s="27" t="s">
        <v>38</v>
      </c>
      <c r="C51" s="25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>
        <f>SUM(D51:O51)</f>
        <v>0</v>
      </c>
      <c r="Q51" s="25"/>
      <c r="R51" s="25"/>
      <c r="S51" s="25"/>
      <c r="T51" s="25"/>
      <c r="U51" s="25"/>
      <c r="V51" s="25"/>
    </row>
    <row r="52" spans="1:22" x14ac:dyDescent="0.3">
      <c r="A52" s="26"/>
      <c r="B52" s="27" t="s">
        <v>39</v>
      </c>
      <c r="C52" s="25"/>
      <c r="D52" s="43">
        <v>50</v>
      </c>
      <c r="E52" s="43">
        <v>50</v>
      </c>
      <c r="F52" s="43">
        <v>50</v>
      </c>
      <c r="G52" s="43">
        <v>50</v>
      </c>
      <c r="H52" s="43">
        <v>50</v>
      </c>
      <c r="I52" s="43">
        <v>50</v>
      </c>
      <c r="J52" s="43">
        <v>50</v>
      </c>
      <c r="K52" s="43">
        <v>50</v>
      </c>
      <c r="L52" s="43">
        <v>50</v>
      </c>
      <c r="M52" s="43">
        <v>50</v>
      </c>
      <c r="N52" s="43">
        <v>50</v>
      </c>
      <c r="O52" s="43">
        <v>50</v>
      </c>
      <c r="P52" s="43">
        <f>SUM(D52:O52)</f>
        <v>600</v>
      </c>
      <c r="Q52" s="25"/>
      <c r="R52" s="25"/>
      <c r="S52" s="25"/>
      <c r="T52" s="25"/>
      <c r="U52" s="25"/>
      <c r="V52" s="25"/>
    </row>
    <row r="53" spans="1:22" x14ac:dyDescent="0.3">
      <c r="A53" s="194" t="s">
        <v>40</v>
      </c>
      <c r="B53" s="194"/>
      <c r="C53" s="25"/>
      <c r="D53" s="28">
        <f t="shared" ref="D53:I53" si="20">SUM(D45:D52)</f>
        <v>2155</v>
      </c>
      <c r="E53" s="28">
        <f t="shared" si="20"/>
        <v>2155</v>
      </c>
      <c r="F53" s="28">
        <f t="shared" si="20"/>
        <v>2155</v>
      </c>
      <c r="G53" s="28">
        <f t="shared" si="20"/>
        <v>2155</v>
      </c>
      <c r="H53" s="28">
        <f t="shared" si="20"/>
        <v>2155</v>
      </c>
      <c r="I53" s="28">
        <f t="shared" si="20"/>
        <v>2155</v>
      </c>
      <c r="J53" s="28">
        <f t="shared" ref="J53:P53" si="21">SUM(J45:J52)</f>
        <v>2155</v>
      </c>
      <c r="K53" s="28">
        <f t="shared" si="21"/>
        <v>2155</v>
      </c>
      <c r="L53" s="28">
        <f t="shared" si="21"/>
        <v>2155</v>
      </c>
      <c r="M53" s="28">
        <f t="shared" si="21"/>
        <v>2155</v>
      </c>
      <c r="N53" s="28">
        <f t="shared" si="21"/>
        <v>2155</v>
      </c>
      <c r="O53" s="28">
        <f t="shared" si="21"/>
        <v>2155</v>
      </c>
      <c r="P53" s="28">
        <f t="shared" si="21"/>
        <v>25860</v>
      </c>
      <c r="Q53" s="29">
        <f>SUM(P52)-P53</f>
        <v>-25260</v>
      </c>
      <c r="R53" s="25"/>
      <c r="S53" s="25"/>
      <c r="T53" s="25"/>
      <c r="U53" s="25"/>
      <c r="V53" s="25"/>
    </row>
    <row r="54" spans="1:22" x14ac:dyDescent="0.3">
      <c r="A54" s="194" t="s">
        <v>41</v>
      </c>
      <c r="B54" s="194"/>
      <c r="C54" s="25"/>
      <c r="D54" s="43"/>
      <c r="E54" s="43"/>
      <c r="F54" s="43"/>
      <c r="G54" s="43"/>
      <c r="H54" s="43"/>
      <c r="I54" s="43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</row>
    <row r="55" spans="1:22" x14ac:dyDescent="0.3">
      <c r="A55" s="26"/>
      <c r="B55" s="27" t="s">
        <v>42</v>
      </c>
      <c r="C55" s="25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25">
        <f t="shared" ref="P55:P83" si="22">SUM(D55:O55)</f>
        <v>0</v>
      </c>
      <c r="Q55" s="25"/>
      <c r="R55" s="25"/>
      <c r="S55" s="25"/>
      <c r="T55" s="25"/>
      <c r="U55" s="25"/>
      <c r="V55" s="25"/>
    </row>
    <row r="56" spans="1:22" x14ac:dyDescent="0.3">
      <c r="A56" s="26"/>
      <c r="B56" s="27" t="s">
        <v>43</v>
      </c>
      <c r="C56" s="25"/>
      <c r="D56" s="43"/>
      <c r="E56" s="43"/>
      <c r="F56" s="43"/>
      <c r="G56" s="43"/>
      <c r="H56" s="43"/>
      <c r="I56" s="43">
        <v>250</v>
      </c>
      <c r="J56" s="43"/>
      <c r="K56" s="43"/>
      <c r="L56" s="43"/>
      <c r="M56" s="43"/>
      <c r="N56" s="43"/>
      <c r="O56" s="43"/>
      <c r="P56" s="43">
        <f t="shared" si="22"/>
        <v>250</v>
      </c>
      <c r="Q56" s="25"/>
      <c r="R56" s="25"/>
      <c r="S56" s="25"/>
      <c r="T56" s="25"/>
      <c r="U56" s="25"/>
      <c r="V56" s="25"/>
    </row>
    <row r="57" spans="1:22" x14ac:dyDescent="0.3">
      <c r="A57" s="26"/>
      <c r="B57" s="27" t="s">
        <v>44</v>
      </c>
      <c r="C57" s="25"/>
      <c r="D57" s="43">
        <v>50</v>
      </c>
      <c r="E57" s="43">
        <v>50</v>
      </c>
      <c r="F57" s="43">
        <v>50</v>
      </c>
      <c r="G57" s="43">
        <v>50</v>
      </c>
      <c r="H57" s="43">
        <v>50</v>
      </c>
      <c r="I57" s="43">
        <v>50</v>
      </c>
      <c r="J57" s="43">
        <v>50</v>
      </c>
      <c r="K57" s="43">
        <v>50</v>
      </c>
      <c r="L57" s="43">
        <v>50</v>
      </c>
      <c r="M57" s="43">
        <v>50</v>
      </c>
      <c r="N57" s="43">
        <v>50</v>
      </c>
      <c r="O57" s="43">
        <v>50</v>
      </c>
      <c r="P57" s="43">
        <f t="shared" si="22"/>
        <v>600</v>
      </c>
      <c r="Q57" s="25"/>
      <c r="R57" s="25"/>
      <c r="S57" s="25"/>
      <c r="T57" s="25"/>
      <c r="U57" s="25"/>
      <c r="V57" s="25"/>
    </row>
    <row r="58" spans="1:22" x14ac:dyDescent="0.3">
      <c r="A58" s="26"/>
      <c r="B58" s="27" t="s">
        <v>45</v>
      </c>
      <c r="C58" s="25"/>
      <c r="D58" s="43">
        <v>25</v>
      </c>
      <c r="E58" s="43">
        <v>25</v>
      </c>
      <c r="F58" s="43">
        <v>25</v>
      </c>
      <c r="G58" s="43">
        <v>25</v>
      </c>
      <c r="H58" s="43">
        <v>25</v>
      </c>
      <c r="I58" s="43">
        <v>25</v>
      </c>
      <c r="J58" s="43">
        <v>25</v>
      </c>
      <c r="K58" s="43">
        <v>25</v>
      </c>
      <c r="L58" s="43">
        <v>25</v>
      </c>
      <c r="M58" s="43">
        <v>25</v>
      </c>
      <c r="N58" s="43">
        <v>25</v>
      </c>
      <c r="O58" s="43">
        <v>25</v>
      </c>
      <c r="P58" s="43">
        <f t="shared" si="22"/>
        <v>300</v>
      </c>
      <c r="Q58" s="25"/>
      <c r="R58" s="25"/>
      <c r="S58" s="25"/>
      <c r="T58" s="25"/>
      <c r="U58" s="25"/>
      <c r="V58" s="25"/>
    </row>
    <row r="59" spans="1:22" x14ac:dyDescent="0.3">
      <c r="A59" s="26"/>
      <c r="B59" s="27" t="s">
        <v>46</v>
      </c>
      <c r="C59" s="25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f t="shared" si="22"/>
        <v>0</v>
      </c>
      <c r="Q59" s="25"/>
      <c r="R59" s="25"/>
      <c r="S59" s="25"/>
      <c r="T59" s="25"/>
      <c r="U59" s="25"/>
      <c r="V59" s="25"/>
    </row>
    <row r="60" spans="1:22" x14ac:dyDescent="0.3">
      <c r="A60" s="26"/>
      <c r="B60" s="27" t="s">
        <v>47</v>
      </c>
      <c r="C60" s="25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f t="shared" si="22"/>
        <v>0</v>
      </c>
      <c r="Q60" s="25"/>
      <c r="R60" s="25"/>
      <c r="S60" s="25"/>
      <c r="T60" s="25"/>
      <c r="U60" s="25"/>
      <c r="V60" s="25"/>
    </row>
    <row r="61" spans="1:22" x14ac:dyDescent="0.3">
      <c r="A61" s="26"/>
      <c r="B61" s="27" t="s">
        <v>48</v>
      </c>
      <c r="C61" s="2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f t="shared" si="22"/>
        <v>0</v>
      </c>
      <c r="Q61" s="25"/>
      <c r="R61" s="25"/>
      <c r="S61" s="25"/>
      <c r="T61" s="25"/>
      <c r="U61" s="25"/>
      <c r="V61" s="25"/>
    </row>
    <row r="62" spans="1:22" x14ac:dyDescent="0.3">
      <c r="A62" s="26"/>
      <c r="B62" s="27" t="s">
        <v>49</v>
      </c>
      <c r="C62" s="25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>
        <f t="shared" si="22"/>
        <v>0</v>
      </c>
      <c r="Q62" s="25"/>
      <c r="R62" s="25"/>
      <c r="S62" s="25"/>
      <c r="T62" s="25"/>
      <c r="U62" s="25"/>
      <c r="V62" s="25"/>
    </row>
    <row r="63" spans="1:22" x14ac:dyDescent="0.3">
      <c r="A63" s="26"/>
      <c r="B63" s="27" t="s">
        <v>50</v>
      </c>
      <c r="C63" s="25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f t="shared" si="22"/>
        <v>0</v>
      </c>
      <c r="Q63" s="43"/>
      <c r="R63" s="25"/>
      <c r="S63" s="25"/>
      <c r="T63" s="25"/>
      <c r="U63" s="25"/>
      <c r="V63" s="25"/>
    </row>
    <row r="64" spans="1:22" x14ac:dyDescent="0.3">
      <c r="A64" s="26"/>
      <c r="B64" s="27" t="s">
        <v>51</v>
      </c>
      <c r="C64" s="25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>
        <f t="shared" si="22"/>
        <v>0</v>
      </c>
      <c r="Q64" s="25"/>
      <c r="R64" s="25"/>
      <c r="S64" s="25"/>
      <c r="T64" s="25"/>
      <c r="U64" s="25"/>
      <c r="V64" s="25"/>
    </row>
    <row r="65" spans="1:22" x14ac:dyDescent="0.3">
      <c r="A65" s="26"/>
      <c r="B65" s="27" t="s">
        <v>52</v>
      </c>
      <c r="C65" s="25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>
        <f t="shared" si="22"/>
        <v>0</v>
      </c>
      <c r="Q65" s="25"/>
      <c r="R65" s="25"/>
      <c r="S65" s="25"/>
      <c r="T65" s="25"/>
      <c r="U65" s="25"/>
      <c r="V65" s="25"/>
    </row>
    <row r="66" spans="1:22" x14ac:dyDescent="0.3">
      <c r="A66" s="26"/>
      <c r="B66" s="27" t="s">
        <v>53</v>
      </c>
      <c r="C66" s="25"/>
      <c r="D66" s="43">
        <v>25</v>
      </c>
      <c r="E66" s="43">
        <v>25</v>
      </c>
      <c r="F66" s="43">
        <v>25</v>
      </c>
      <c r="G66" s="43">
        <v>25</v>
      </c>
      <c r="H66" s="43">
        <v>25</v>
      </c>
      <c r="I66" s="43">
        <v>25</v>
      </c>
      <c r="J66" s="43">
        <v>25</v>
      </c>
      <c r="K66" s="43">
        <v>25</v>
      </c>
      <c r="L66" s="43">
        <v>25</v>
      </c>
      <c r="M66" s="43">
        <v>25</v>
      </c>
      <c r="N66" s="43">
        <v>25</v>
      </c>
      <c r="O66" s="43">
        <v>25</v>
      </c>
      <c r="P66" s="43">
        <f t="shared" si="22"/>
        <v>300</v>
      </c>
      <c r="Q66" s="25"/>
      <c r="R66" s="25"/>
      <c r="S66" s="25"/>
      <c r="T66" s="25"/>
      <c r="U66" s="25"/>
      <c r="V66" s="25"/>
    </row>
    <row r="67" spans="1:22" x14ac:dyDescent="0.3">
      <c r="A67" s="26"/>
      <c r="B67" s="27" t="s">
        <v>54</v>
      </c>
      <c r="C67" s="25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>
        <f t="shared" si="22"/>
        <v>0</v>
      </c>
      <c r="Q67" s="25"/>
      <c r="R67" s="25"/>
      <c r="S67" s="25"/>
      <c r="T67" s="25"/>
      <c r="U67" s="25"/>
      <c r="V67" s="25"/>
    </row>
    <row r="68" spans="1:22" x14ac:dyDescent="0.3">
      <c r="A68" s="26"/>
      <c r="B68" s="27" t="s">
        <v>55</v>
      </c>
      <c r="C68" s="25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>
        <f t="shared" si="22"/>
        <v>0</v>
      </c>
      <c r="Q68" s="25"/>
      <c r="R68" s="25"/>
      <c r="S68" s="25"/>
      <c r="T68" s="25"/>
      <c r="U68" s="25"/>
      <c r="V68" s="25"/>
    </row>
    <row r="69" spans="1:22" x14ac:dyDescent="0.3">
      <c r="A69" s="26"/>
      <c r="B69" s="27" t="s">
        <v>56</v>
      </c>
      <c r="C69" s="25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>
        <f t="shared" si="22"/>
        <v>0</v>
      </c>
      <c r="Q69" s="25"/>
      <c r="R69" s="25"/>
      <c r="S69" s="25"/>
      <c r="T69" s="25"/>
      <c r="U69" s="25"/>
      <c r="V69" s="25"/>
    </row>
    <row r="70" spans="1:22" x14ac:dyDescent="0.3">
      <c r="A70" s="26"/>
      <c r="B70" s="27" t="s">
        <v>57</v>
      </c>
      <c r="C70" s="25"/>
      <c r="D70" s="43">
        <v>46</v>
      </c>
      <c r="E70" s="43">
        <v>46</v>
      </c>
      <c r="F70" s="43">
        <v>46</v>
      </c>
      <c r="G70" s="43">
        <v>46</v>
      </c>
      <c r="H70" s="43">
        <v>46</v>
      </c>
      <c r="I70" s="43">
        <v>46</v>
      </c>
      <c r="J70" s="43">
        <v>46</v>
      </c>
      <c r="K70" s="43">
        <v>46</v>
      </c>
      <c r="L70" s="43">
        <v>46</v>
      </c>
      <c r="M70" s="43">
        <v>46</v>
      </c>
      <c r="N70" s="43">
        <v>46</v>
      </c>
      <c r="O70" s="43">
        <v>46</v>
      </c>
      <c r="P70" s="43">
        <f t="shared" si="22"/>
        <v>552</v>
      </c>
      <c r="Q70" s="25"/>
      <c r="R70" s="25"/>
      <c r="S70" s="25"/>
      <c r="T70" s="25"/>
      <c r="U70" s="25"/>
      <c r="V70" s="25"/>
    </row>
    <row r="71" spans="1:22" x14ac:dyDescent="0.3">
      <c r="A71" s="26"/>
      <c r="B71" s="27" t="s">
        <v>58</v>
      </c>
      <c r="C71" s="2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>
        <f t="shared" si="22"/>
        <v>0</v>
      </c>
      <c r="Q71" s="25"/>
      <c r="R71" s="25"/>
      <c r="S71" s="25"/>
      <c r="T71" s="25"/>
      <c r="U71" s="25"/>
      <c r="V71" s="25"/>
    </row>
    <row r="72" spans="1:22" x14ac:dyDescent="0.3">
      <c r="A72" s="26"/>
      <c r="B72" s="27" t="s">
        <v>59</v>
      </c>
      <c r="C72" s="25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>
        <f t="shared" si="22"/>
        <v>0</v>
      </c>
      <c r="Q72" s="25"/>
      <c r="R72" s="25"/>
      <c r="S72" s="25"/>
      <c r="T72" s="25"/>
      <c r="U72" s="25"/>
      <c r="V72" s="25"/>
    </row>
    <row r="73" spans="1:22" x14ac:dyDescent="0.3">
      <c r="A73" s="26"/>
      <c r="B73" s="27" t="s">
        <v>60</v>
      </c>
      <c r="C73" s="2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>
        <f t="shared" si="22"/>
        <v>0</v>
      </c>
      <c r="Q73" s="25"/>
      <c r="R73" s="25"/>
      <c r="S73" s="25"/>
      <c r="T73" s="25"/>
      <c r="U73" s="25"/>
      <c r="V73" s="25"/>
    </row>
    <row r="74" spans="1:22" x14ac:dyDescent="0.3">
      <c r="A74" s="26"/>
      <c r="B74" s="27" t="s">
        <v>61</v>
      </c>
      <c r="C74" s="25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>
        <f t="shared" si="22"/>
        <v>0</v>
      </c>
      <c r="Q74" s="25"/>
      <c r="R74" s="25"/>
      <c r="S74" s="25"/>
      <c r="T74" s="25"/>
      <c r="U74" s="25"/>
      <c r="V74" s="25"/>
    </row>
    <row r="75" spans="1:22" x14ac:dyDescent="0.3">
      <c r="A75" s="26"/>
      <c r="B75" s="27" t="s">
        <v>62</v>
      </c>
      <c r="C75" s="25"/>
      <c r="D75" s="43"/>
      <c r="E75" s="43"/>
      <c r="F75" s="43"/>
      <c r="G75" s="43"/>
      <c r="H75" s="43"/>
      <c r="I75" s="43"/>
      <c r="J75" s="43"/>
      <c r="K75" s="43"/>
      <c r="L75" s="43">
        <v>875</v>
      </c>
      <c r="M75" s="43">
        <v>500</v>
      </c>
      <c r="N75" s="43"/>
      <c r="O75" s="43"/>
      <c r="P75" s="43">
        <f t="shared" si="22"/>
        <v>1375</v>
      </c>
      <c r="Q75" s="25" t="s">
        <v>224</v>
      </c>
      <c r="R75" s="25"/>
      <c r="S75" s="25"/>
      <c r="T75" s="25"/>
      <c r="U75" s="25"/>
      <c r="V75" s="25"/>
    </row>
    <row r="76" spans="1:22" x14ac:dyDescent="0.3">
      <c r="A76" s="26"/>
      <c r="B76" s="27" t="s">
        <v>63</v>
      </c>
      <c r="C76" s="25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>
        <f t="shared" si="22"/>
        <v>0</v>
      </c>
      <c r="Q76" s="25"/>
      <c r="R76" s="25"/>
      <c r="S76" s="25"/>
      <c r="T76" s="25"/>
      <c r="U76" s="25"/>
      <c r="V76" s="25"/>
    </row>
    <row r="77" spans="1:22" x14ac:dyDescent="0.3">
      <c r="A77" s="27" t="s">
        <v>17</v>
      </c>
      <c r="B77" s="27" t="s">
        <v>64</v>
      </c>
      <c r="C77" s="25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>
        <f t="shared" si="22"/>
        <v>0</v>
      </c>
      <c r="Q77" s="25"/>
      <c r="R77" s="25"/>
      <c r="S77" s="25"/>
      <c r="T77" s="25"/>
      <c r="U77" s="25"/>
      <c r="V77" s="25"/>
    </row>
    <row r="78" spans="1:22" x14ac:dyDescent="0.3">
      <c r="A78" s="26"/>
      <c r="B78" s="27" t="s">
        <v>65</v>
      </c>
      <c r="C78" s="25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>
        <f t="shared" si="22"/>
        <v>0</v>
      </c>
      <c r="Q78" s="25"/>
      <c r="R78" s="25"/>
      <c r="S78" s="25"/>
      <c r="T78" s="25"/>
      <c r="U78" s="25"/>
      <c r="V78" s="25"/>
    </row>
    <row r="79" spans="1:22" x14ac:dyDescent="0.3">
      <c r="A79" s="26"/>
      <c r="B79" s="26"/>
      <c r="C79" s="25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f t="shared" si="22"/>
        <v>0</v>
      </c>
      <c r="Q79" s="25"/>
      <c r="R79" s="25"/>
      <c r="S79" s="25"/>
      <c r="T79" s="25"/>
      <c r="U79" s="25"/>
      <c r="V79" s="25"/>
    </row>
    <row r="80" spans="1:22" x14ac:dyDescent="0.3">
      <c r="A80" s="26"/>
      <c r="B80" s="27"/>
      <c r="C80" s="25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f t="shared" si="22"/>
        <v>0</v>
      </c>
      <c r="Q80" s="25"/>
      <c r="R80" s="25"/>
      <c r="S80" s="25"/>
      <c r="T80" s="25"/>
      <c r="U80" s="25"/>
      <c r="V80" s="25"/>
    </row>
    <row r="81" spans="1:22" x14ac:dyDescent="0.3">
      <c r="A81" s="26"/>
      <c r="B81" s="27"/>
      <c r="C81" s="25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>
        <f t="shared" si="22"/>
        <v>0</v>
      </c>
      <c r="Q81" s="25"/>
      <c r="R81" s="25"/>
      <c r="S81" s="25"/>
      <c r="T81" s="25"/>
      <c r="U81" s="25"/>
      <c r="V81" s="25"/>
    </row>
    <row r="82" spans="1:22" x14ac:dyDescent="0.3">
      <c r="A82" s="26"/>
      <c r="B82" s="27"/>
      <c r="C82" s="25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>
        <f t="shared" si="22"/>
        <v>0</v>
      </c>
      <c r="Q82" s="25"/>
      <c r="R82" s="25"/>
      <c r="S82" s="25"/>
      <c r="T82" s="25"/>
      <c r="U82" s="25"/>
      <c r="V82" s="25"/>
    </row>
    <row r="83" spans="1:22" x14ac:dyDescent="0.3">
      <c r="A83" s="26"/>
      <c r="B83" s="27"/>
      <c r="C83" s="25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25">
        <f t="shared" si="22"/>
        <v>0</v>
      </c>
      <c r="Q83" s="25"/>
      <c r="R83" s="25"/>
      <c r="S83" s="25"/>
      <c r="T83" s="25"/>
      <c r="U83" s="25"/>
      <c r="V83" s="25"/>
    </row>
    <row r="84" spans="1:22" x14ac:dyDescent="0.3">
      <c r="A84" s="194" t="s">
        <v>66</v>
      </c>
      <c r="B84" s="194"/>
      <c r="C84" s="25"/>
      <c r="D84" s="28">
        <f t="shared" ref="D84:I84" si="23">SUM(D56:D83)</f>
        <v>146</v>
      </c>
      <c r="E84" s="28">
        <f t="shared" si="23"/>
        <v>146</v>
      </c>
      <c r="F84" s="28">
        <f t="shared" si="23"/>
        <v>146</v>
      </c>
      <c r="G84" s="28">
        <f t="shared" si="23"/>
        <v>146</v>
      </c>
      <c r="H84" s="28">
        <f t="shared" si="23"/>
        <v>146</v>
      </c>
      <c r="I84" s="28">
        <f t="shared" si="23"/>
        <v>396</v>
      </c>
      <c r="J84" s="28">
        <f t="shared" ref="J84:P84" si="24">SUM(J56:J83)</f>
        <v>146</v>
      </c>
      <c r="K84" s="28">
        <f t="shared" si="24"/>
        <v>146</v>
      </c>
      <c r="L84" s="28">
        <f t="shared" si="24"/>
        <v>1021</v>
      </c>
      <c r="M84" s="28">
        <f t="shared" si="24"/>
        <v>646</v>
      </c>
      <c r="N84" s="28">
        <f t="shared" si="24"/>
        <v>146</v>
      </c>
      <c r="O84" s="28">
        <f t="shared" si="24"/>
        <v>146</v>
      </c>
      <c r="P84" s="28">
        <f t="shared" si="24"/>
        <v>3377</v>
      </c>
      <c r="Q84" s="29">
        <f>SUM(P55:P83)-P84</f>
        <v>0</v>
      </c>
      <c r="R84" s="25"/>
      <c r="S84" s="25"/>
      <c r="T84" s="25"/>
      <c r="U84" s="25"/>
      <c r="V84" s="25"/>
    </row>
    <row r="85" spans="1:22" x14ac:dyDescent="0.3">
      <c r="A85" s="194" t="s">
        <v>67</v>
      </c>
      <c r="B85" s="194"/>
      <c r="C85" s="25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25"/>
      <c r="R85" s="25"/>
      <c r="S85" s="25"/>
      <c r="T85" s="25"/>
      <c r="U85" s="25"/>
      <c r="V85" s="25"/>
    </row>
    <row r="86" spans="1:22" x14ac:dyDescent="0.3">
      <c r="A86" s="26"/>
      <c r="B86" s="27" t="s">
        <v>68</v>
      </c>
      <c r="C86" s="25"/>
      <c r="D86" s="43">
        <v>300</v>
      </c>
      <c r="E86" s="43">
        <v>300</v>
      </c>
      <c r="F86" s="43">
        <v>200</v>
      </c>
      <c r="G86" s="43">
        <v>200</v>
      </c>
      <c r="H86" s="43">
        <v>200</v>
      </c>
      <c r="I86" s="43">
        <v>225</v>
      </c>
      <c r="J86" s="43">
        <v>275</v>
      </c>
      <c r="K86" s="43">
        <v>300</v>
      </c>
      <c r="L86" s="43">
        <v>200</v>
      </c>
      <c r="M86" s="43">
        <v>200</v>
      </c>
      <c r="N86" s="43">
        <v>200</v>
      </c>
      <c r="O86" s="43">
        <v>275</v>
      </c>
      <c r="P86" s="43">
        <f t="shared" ref="P86:P104" si="25">SUM(D86:O86)</f>
        <v>2875</v>
      </c>
      <c r="Q86" s="25"/>
      <c r="R86" s="25"/>
      <c r="S86" s="25"/>
      <c r="T86" s="25"/>
      <c r="U86" s="25"/>
      <c r="V86" s="25"/>
    </row>
    <row r="87" spans="1:22" x14ac:dyDescent="0.3">
      <c r="A87" s="26"/>
      <c r="B87" s="27" t="s">
        <v>69</v>
      </c>
      <c r="C87" s="25"/>
      <c r="D87" s="43">
        <v>150</v>
      </c>
      <c r="E87" s="43">
        <v>175</v>
      </c>
      <c r="F87" s="43">
        <v>150</v>
      </c>
      <c r="G87" s="43">
        <v>100</v>
      </c>
      <c r="H87" s="43">
        <v>75</v>
      </c>
      <c r="I87" s="43">
        <v>50</v>
      </c>
      <c r="J87" s="43">
        <v>50</v>
      </c>
      <c r="K87" s="43">
        <v>50</v>
      </c>
      <c r="L87" s="43">
        <v>50</v>
      </c>
      <c r="M87" s="43">
        <v>100</v>
      </c>
      <c r="N87" s="43">
        <v>100</v>
      </c>
      <c r="O87" s="43">
        <v>150</v>
      </c>
      <c r="P87" s="43">
        <f t="shared" si="25"/>
        <v>1200</v>
      </c>
      <c r="Q87" s="25"/>
      <c r="R87" s="25"/>
      <c r="S87" s="25"/>
      <c r="T87" s="25"/>
      <c r="U87" s="25"/>
      <c r="V87" s="25"/>
    </row>
    <row r="88" spans="1:22" x14ac:dyDescent="0.3">
      <c r="A88" s="26"/>
      <c r="B88" s="27" t="s">
        <v>70</v>
      </c>
      <c r="C88" s="25"/>
      <c r="D88" s="43">
        <v>175</v>
      </c>
      <c r="E88" s="43">
        <v>175</v>
      </c>
      <c r="F88" s="43">
        <v>175</v>
      </c>
      <c r="G88" s="43">
        <v>175</v>
      </c>
      <c r="H88" s="43">
        <v>175</v>
      </c>
      <c r="I88" s="43">
        <v>175</v>
      </c>
      <c r="J88" s="43">
        <v>175</v>
      </c>
      <c r="K88" s="43">
        <v>175</v>
      </c>
      <c r="L88" s="43">
        <v>175</v>
      </c>
      <c r="M88" s="43">
        <v>175</v>
      </c>
      <c r="N88" s="43">
        <v>175</v>
      </c>
      <c r="O88" s="43">
        <v>175</v>
      </c>
      <c r="P88" s="43">
        <f t="shared" si="25"/>
        <v>2100</v>
      </c>
      <c r="Q88" s="25"/>
      <c r="R88" s="25"/>
      <c r="S88" s="25"/>
      <c r="T88" s="25"/>
      <c r="U88" s="25"/>
      <c r="V88" s="25"/>
    </row>
    <row r="89" spans="1:22" x14ac:dyDescent="0.3">
      <c r="A89" s="26"/>
      <c r="B89" s="27" t="s">
        <v>71</v>
      </c>
      <c r="C89" s="25"/>
      <c r="D89" s="43">
        <f>5000/12</f>
        <v>416.66666666666669</v>
      </c>
      <c r="E89" s="43">
        <f t="shared" ref="E89:O89" si="26">5000/12</f>
        <v>416.66666666666669</v>
      </c>
      <c r="F89" s="43">
        <f t="shared" si="26"/>
        <v>416.66666666666669</v>
      </c>
      <c r="G89" s="43">
        <f t="shared" si="26"/>
        <v>416.66666666666669</v>
      </c>
      <c r="H89" s="43">
        <f t="shared" si="26"/>
        <v>416.66666666666669</v>
      </c>
      <c r="I89" s="43">
        <f t="shared" si="26"/>
        <v>416.66666666666669</v>
      </c>
      <c r="J89" s="43">
        <f t="shared" si="26"/>
        <v>416.66666666666669</v>
      </c>
      <c r="K89" s="43">
        <f t="shared" si="26"/>
        <v>416.66666666666669</v>
      </c>
      <c r="L89" s="43">
        <f t="shared" si="26"/>
        <v>416.66666666666669</v>
      </c>
      <c r="M89" s="43">
        <f t="shared" si="26"/>
        <v>416.66666666666669</v>
      </c>
      <c r="N89" s="43">
        <f t="shared" si="26"/>
        <v>416.66666666666669</v>
      </c>
      <c r="O89" s="43">
        <f t="shared" si="26"/>
        <v>416.66666666666669</v>
      </c>
      <c r="P89" s="43">
        <f t="shared" si="25"/>
        <v>5000</v>
      </c>
      <c r="Q89" s="25"/>
      <c r="R89" s="25"/>
      <c r="S89" s="25"/>
      <c r="T89" s="25"/>
      <c r="U89" s="25"/>
      <c r="V89" s="25"/>
    </row>
    <row r="90" spans="1:22" x14ac:dyDescent="0.3">
      <c r="A90" s="26"/>
      <c r="B90" s="27" t="s">
        <v>72</v>
      </c>
      <c r="C90" s="25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>
        <f t="shared" si="25"/>
        <v>0</v>
      </c>
      <c r="Q90" s="25"/>
      <c r="R90" s="25"/>
      <c r="S90" s="25"/>
      <c r="T90" s="25"/>
      <c r="U90" s="25"/>
      <c r="V90" s="25"/>
    </row>
    <row r="91" spans="1:22" x14ac:dyDescent="0.3">
      <c r="A91" s="26"/>
      <c r="B91" s="27" t="s">
        <v>73</v>
      </c>
      <c r="C91" s="25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>
        <f t="shared" si="25"/>
        <v>0</v>
      </c>
      <c r="Q91" s="25"/>
      <c r="R91" s="25"/>
      <c r="S91" s="25"/>
      <c r="T91" s="25"/>
      <c r="U91" s="25"/>
      <c r="V91" s="25"/>
    </row>
    <row r="92" spans="1:22" x14ac:dyDescent="0.3">
      <c r="A92" s="26"/>
      <c r="B92" s="27" t="s">
        <v>74</v>
      </c>
      <c r="C92" s="25"/>
      <c r="D92" s="43">
        <v>50</v>
      </c>
      <c r="E92" s="43">
        <v>50</v>
      </c>
      <c r="F92" s="43">
        <v>50</v>
      </c>
      <c r="G92" s="43">
        <v>50</v>
      </c>
      <c r="H92" s="43">
        <v>50</v>
      </c>
      <c r="I92" s="43">
        <v>50</v>
      </c>
      <c r="J92" s="43">
        <v>50</v>
      </c>
      <c r="K92" s="43">
        <v>50</v>
      </c>
      <c r="L92" s="43">
        <v>50</v>
      </c>
      <c r="M92" s="43">
        <v>50</v>
      </c>
      <c r="N92" s="43">
        <v>50</v>
      </c>
      <c r="O92" s="43">
        <v>50</v>
      </c>
      <c r="P92" s="43">
        <f t="shared" si="25"/>
        <v>600</v>
      </c>
      <c r="Q92" s="25"/>
      <c r="R92" s="25"/>
      <c r="S92" s="25"/>
      <c r="T92" s="25"/>
      <c r="U92" s="25"/>
      <c r="V92" s="25"/>
    </row>
    <row r="93" spans="1:22" x14ac:dyDescent="0.3">
      <c r="A93" s="26"/>
      <c r="B93" s="27" t="s">
        <v>75</v>
      </c>
      <c r="C93" s="25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>
        <f t="shared" si="25"/>
        <v>0</v>
      </c>
      <c r="Q93" s="25"/>
      <c r="R93" s="25"/>
      <c r="S93" s="25"/>
      <c r="T93" s="25"/>
      <c r="U93" s="25"/>
      <c r="V93" s="25"/>
    </row>
    <row r="94" spans="1:22" x14ac:dyDescent="0.3">
      <c r="A94" s="26"/>
      <c r="B94" s="27" t="s">
        <v>76</v>
      </c>
      <c r="C94" s="25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>
        <f t="shared" si="25"/>
        <v>0</v>
      </c>
      <c r="Q94" s="25"/>
      <c r="R94" s="25"/>
      <c r="S94" s="25"/>
      <c r="T94" s="25"/>
      <c r="U94" s="25"/>
      <c r="V94" s="25"/>
    </row>
    <row r="95" spans="1:22" x14ac:dyDescent="0.3">
      <c r="A95" s="26"/>
      <c r="B95" s="27" t="s">
        <v>77</v>
      </c>
      <c r="C95" s="25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>
        <f t="shared" si="25"/>
        <v>0</v>
      </c>
      <c r="Q95" s="25"/>
      <c r="R95" s="25"/>
      <c r="S95" s="25"/>
      <c r="T95" s="25"/>
      <c r="U95" s="25"/>
      <c r="V95" s="25"/>
    </row>
    <row r="96" spans="1:22" x14ac:dyDescent="0.3">
      <c r="A96" s="26"/>
      <c r="B96" s="27" t="s">
        <v>78</v>
      </c>
      <c r="C96" s="25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>
        <f t="shared" si="25"/>
        <v>0</v>
      </c>
      <c r="Q96" s="25"/>
      <c r="R96" s="25"/>
      <c r="S96" s="25"/>
      <c r="T96" s="25"/>
      <c r="U96" s="25"/>
      <c r="V96" s="25"/>
    </row>
    <row r="97" spans="1:22" x14ac:dyDescent="0.3">
      <c r="A97" s="26"/>
      <c r="B97" s="27" t="s">
        <v>79</v>
      </c>
      <c r="C97" s="25"/>
      <c r="D97" s="43">
        <v>700</v>
      </c>
      <c r="E97" s="43">
        <v>700</v>
      </c>
      <c r="F97" s="43">
        <v>700</v>
      </c>
      <c r="G97" s="43">
        <v>700</v>
      </c>
      <c r="H97" s="43">
        <v>700</v>
      </c>
      <c r="I97" s="43">
        <v>700</v>
      </c>
      <c r="J97" s="43">
        <v>700</v>
      </c>
      <c r="K97" s="43">
        <v>700</v>
      </c>
      <c r="L97" s="43">
        <v>700</v>
      </c>
      <c r="M97" s="43">
        <v>700</v>
      </c>
      <c r="N97" s="43">
        <v>700</v>
      </c>
      <c r="O97" s="43">
        <v>700</v>
      </c>
      <c r="P97" s="43">
        <f t="shared" si="25"/>
        <v>8400</v>
      </c>
      <c r="Q97" s="25"/>
      <c r="R97" s="25"/>
      <c r="S97" s="25"/>
      <c r="T97" s="25"/>
      <c r="U97" s="25"/>
      <c r="V97" s="25"/>
    </row>
    <row r="98" spans="1:22" x14ac:dyDescent="0.3">
      <c r="A98" s="26"/>
      <c r="B98" s="27" t="s">
        <v>80</v>
      </c>
      <c r="C98" s="25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>
        <f t="shared" si="25"/>
        <v>0</v>
      </c>
      <c r="Q98" s="25"/>
      <c r="R98" s="25"/>
      <c r="S98" s="25"/>
      <c r="T98" s="25"/>
      <c r="U98" s="25"/>
      <c r="V98" s="25"/>
    </row>
    <row r="99" spans="1:22" x14ac:dyDescent="0.3">
      <c r="A99" s="26"/>
      <c r="B99" s="27" t="s">
        <v>81</v>
      </c>
      <c r="C99" s="25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>
        <f t="shared" si="25"/>
        <v>0</v>
      </c>
      <c r="Q99" s="25"/>
      <c r="R99" s="25"/>
      <c r="S99" s="25"/>
      <c r="T99" s="25"/>
      <c r="U99" s="25"/>
      <c r="V99" s="25"/>
    </row>
    <row r="100" spans="1:22" x14ac:dyDescent="0.3">
      <c r="A100" s="26"/>
      <c r="B100" s="27" t="s">
        <v>82</v>
      </c>
      <c r="C100" s="25"/>
      <c r="D100" s="43"/>
      <c r="E100" s="43"/>
      <c r="F100" s="43"/>
      <c r="G100" s="43">
        <v>140</v>
      </c>
      <c r="H100" s="43"/>
      <c r="I100" s="43"/>
      <c r="J100" s="43"/>
      <c r="K100" s="43"/>
      <c r="L100" s="43"/>
      <c r="M100" s="43"/>
      <c r="N100" s="43"/>
      <c r="O100" s="43"/>
      <c r="P100" s="43">
        <f t="shared" si="25"/>
        <v>140</v>
      </c>
      <c r="Q100" s="25"/>
      <c r="R100" s="25"/>
      <c r="S100" s="25"/>
      <c r="T100" s="25"/>
      <c r="U100" s="25"/>
      <c r="V100" s="25"/>
    </row>
    <row r="101" spans="1:22" x14ac:dyDescent="0.3">
      <c r="A101" s="26"/>
      <c r="B101" s="27" t="s">
        <v>83</v>
      </c>
      <c r="C101" s="25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>
        <f t="shared" si="25"/>
        <v>0</v>
      </c>
      <c r="Q101" s="25"/>
      <c r="R101" s="25"/>
      <c r="S101" s="25"/>
      <c r="T101" s="25"/>
      <c r="U101" s="25"/>
      <c r="V101" s="25"/>
    </row>
    <row r="102" spans="1:22" x14ac:dyDescent="0.3">
      <c r="A102" s="26"/>
      <c r="B102" s="26"/>
      <c r="C102" s="25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>
        <f t="shared" si="25"/>
        <v>0</v>
      </c>
      <c r="Q102" s="25"/>
      <c r="R102" s="25"/>
      <c r="S102" s="25"/>
      <c r="T102" s="25"/>
      <c r="U102" s="25"/>
      <c r="V102" s="25"/>
    </row>
    <row r="103" spans="1:22" x14ac:dyDescent="0.3">
      <c r="A103" s="26"/>
      <c r="B103" s="27"/>
      <c r="C103" s="25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>
        <f t="shared" si="25"/>
        <v>0</v>
      </c>
      <c r="Q103" s="25"/>
      <c r="R103" s="25"/>
      <c r="S103" s="25"/>
      <c r="T103" s="25"/>
      <c r="U103" s="25"/>
      <c r="V103" s="25"/>
    </row>
    <row r="104" spans="1:22" x14ac:dyDescent="0.3">
      <c r="A104" s="26"/>
      <c r="B104" s="27"/>
      <c r="C104" s="25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>
        <f t="shared" si="25"/>
        <v>0</v>
      </c>
      <c r="Q104" s="25"/>
      <c r="R104" s="25"/>
      <c r="S104" s="25"/>
      <c r="T104" s="25"/>
      <c r="U104" s="25"/>
      <c r="V104" s="25"/>
    </row>
    <row r="105" spans="1:22" x14ac:dyDescent="0.3">
      <c r="A105" s="194" t="s">
        <v>84</v>
      </c>
      <c r="B105" s="194"/>
      <c r="C105" s="25"/>
      <c r="D105" s="30">
        <f t="shared" ref="D105:I105" si="27">SUM(D86:D104)</f>
        <v>1791.6666666666667</v>
      </c>
      <c r="E105" s="30">
        <f t="shared" si="27"/>
        <v>1816.6666666666667</v>
      </c>
      <c r="F105" s="30">
        <f t="shared" si="27"/>
        <v>1691.6666666666667</v>
      </c>
      <c r="G105" s="30">
        <f t="shared" si="27"/>
        <v>1781.6666666666667</v>
      </c>
      <c r="H105" s="30">
        <f t="shared" si="27"/>
        <v>1616.6666666666667</v>
      </c>
      <c r="I105" s="30">
        <f t="shared" si="27"/>
        <v>1616.6666666666667</v>
      </c>
      <c r="J105" s="30">
        <f t="shared" ref="J105:P105" si="28">SUM(J86:J104)</f>
        <v>1666.6666666666667</v>
      </c>
      <c r="K105" s="30">
        <f t="shared" si="28"/>
        <v>1691.6666666666667</v>
      </c>
      <c r="L105" s="30">
        <f t="shared" si="28"/>
        <v>1591.6666666666667</v>
      </c>
      <c r="M105" s="30">
        <f t="shared" si="28"/>
        <v>1641.6666666666667</v>
      </c>
      <c r="N105" s="30">
        <f t="shared" si="28"/>
        <v>1641.6666666666667</v>
      </c>
      <c r="O105" s="30">
        <f t="shared" si="28"/>
        <v>1766.6666666666667</v>
      </c>
      <c r="P105" s="30">
        <f t="shared" si="28"/>
        <v>20315</v>
      </c>
      <c r="Q105" s="29">
        <f>SUM(P86:P104)-P105</f>
        <v>0</v>
      </c>
      <c r="R105" s="25"/>
      <c r="S105" s="25"/>
      <c r="T105" s="25"/>
      <c r="U105" s="25"/>
      <c r="V105" s="25"/>
    </row>
    <row r="106" spans="1:22" x14ac:dyDescent="0.3">
      <c r="A106" s="26"/>
      <c r="B106" s="27" t="s">
        <v>85</v>
      </c>
      <c r="C106" s="25"/>
      <c r="D106" s="30">
        <f t="shared" ref="D106:I106" si="29">D105+D84+D53+D43</f>
        <v>27052.898706906668</v>
      </c>
      <c r="E106" s="30">
        <f t="shared" si="29"/>
        <v>27077.917121497067</v>
      </c>
      <c r="F106" s="30">
        <f t="shared" si="29"/>
        <v>38433.04234891227</v>
      </c>
      <c r="G106" s="30">
        <f t="shared" si="29"/>
        <v>27042.917121497067</v>
      </c>
      <c r="H106" s="30">
        <f t="shared" si="29"/>
        <v>26877.917121497067</v>
      </c>
      <c r="I106" s="30">
        <f t="shared" si="29"/>
        <v>27127.917121497067</v>
      </c>
      <c r="J106" s="30">
        <f t="shared" ref="J106:P106" si="30">J105+J84+J53+J43</f>
        <v>26927.917121497067</v>
      </c>
      <c r="K106" s="30">
        <f t="shared" si="30"/>
        <v>38433.04234891227</v>
      </c>
      <c r="L106" s="30">
        <f t="shared" si="30"/>
        <v>27727.917121497067</v>
      </c>
      <c r="M106" s="30">
        <f t="shared" si="30"/>
        <v>27402.917121497067</v>
      </c>
      <c r="N106" s="30">
        <f t="shared" si="30"/>
        <v>26902.917121497067</v>
      </c>
      <c r="O106" s="30">
        <f t="shared" si="30"/>
        <v>27027.917121497067</v>
      </c>
      <c r="P106" s="30">
        <f t="shared" si="30"/>
        <v>348035.23749820481</v>
      </c>
      <c r="Q106" s="25"/>
      <c r="R106" s="25"/>
      <c r="S106" s="25"/>
      <c r="T106" s="25"/>
      <c r="U106" s="25"/>
      <c r="V106" s="25"/>
    </row>
    <row r="107" spans="1:22" x14ac:dyDescent="0.3">
      <c r="A107" s="26"/>
      <c r="B107" s="27" t="s">
        <v>86</v>
      </c>
      <c r="C107" s="25"/>
      <c r="D107" s="43"/>
      <c r="E107" s="43"/>
      <c r="F107" s="43"/>
      <c r="G107" s="43"/>
      <c r="H107" s="43"/>
      <c r="I107" s="43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8" spans="1:22" x14ac:dyDescent="0.3">
      <c r="A108" s="25"/>
      <c r="B108" s="25"/>
      <c r="C108" s="25"/>
      <c r="D108" s="43"/>
      <c r="E108" s="43"/>
      <c r="F108" s="43"/>
      <c r="G108" s="43"/>
      <c r="H108" s="43"/>
      <c r="I108" s="43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1:22" ht="15" thickBot="1" x14ac:dyDescent="0.35">
      <c r="A109" s="25"/>
      <c r="B109" s="25" t="s">
        <v>112</v>
      </c>
      <c r="C109" s="25"/>
      <c r="D109" s="31">
        <f t="shared" ref="D109:I109" si="31">D32-D106-D107</f>
        <v>-461.08770690667006</v>
      </c>
      <c r="E109" s="31">
        <f t="shared" si="31"/>
        <v>-2203.8771214970657</v>
      </c>
      <c r="F109" s="31">
        <f t="shared" si="31"/>
        <v>-11269.31234891227</v>
      </c>
      <c r="G109" s="31">
        <f t="shared" si="31"/>
        <v>-642.41712149707018</v>
      </c>
      <c r="H109" s="31">
        <f t="shared" si="31"/>
        <v>285.81287850293302</v>
      </c>
      <c r="I109" s="31">
        <f t="shared" si="31"/>
        <v>-727.41712149707018</v>
      </c>
      <c r="J109" s="31">
        <f t="shared" ref="J109:P109" si="32">J32-J106-J107</f>
        <v>235.81287850293302</v>
      </c>
      <c r="K109" s="31">
        <f t="shared" si="32"/>
        <v>-11269.31234891227</v>
      </c>
      <c r="L109" s="31">
        <f t="shared" si="32"/>
        <v>-1327.4171214970702</v>
      </c>
      <c r="M109" s="31">
        <f t="shared" si="32"/>
        <v>-239.18712149706698</v>
      </c>
      <c r="N109" s="31">
        <f t="shared" si="32"/>
        <v>-502.41712149707018</v>
      </c>
      <c r="O109" s="31">
        <f t="shared" si="32"/>
        <v>135.81287850293302</v>
      </c>
      <c r="P109" s="31">
        <f t="shared" si="32"/>
        <v>-27985.006498204777</v>
      </c>
      <c r="Q109" s="25"/>
      <c r="R109" s="25"/>
      <c r="S109" s="25"/>
      <c r="T109" s="25"/>
      <c r="U109" s="25"/>
      <c r="V109" s="25"/>
    </row>
    <row r="110" spans="1:22" ht="15" thickTop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</sheetData>
  <mergeCells count="16">
    <mergeCell ref="A19:B19"/>
    <mergeCell ref="A4:B4"/>
    <mergeCell ref="A5:B5"/>
    <mergeCell ref="A12:B12"/>
    <mergeCell ref="A13:B13"/>
    <mergeCell ref="A18:B18"/>
    <mergeCell ref="A54:B54"/>
    <mergeCell ref="A84:B84"/>
    <mergeCell ref="A85:B85"/>
    <mergeCell ref="A105:B105"/>
    <mergeCell ref="A26:B26"/>
    <mergeCell ref="A27:B27"/>
    <mergeCell ref="A34:B34"/>
    <mergeCell ref="A43:B43"/>
    <mergeCell ref="A44:B44"/>
    <mergeCell ref="A53:B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</vt:i4>
      </vt:variant>
    </vt:vector>
  </HeadingPairs>
  <TitlesOfParts>
    <vt:vector size="34" baseType="lpstr">
      <vt:lpstr>Total</vt:lpstr>
      <vt:lpstr>Total by month</vt:lpstr>
      <vt:lpstr>Support Housing</vt:lpstr>
      <vt:lpstr>APTS</vt:lpstr>
      <vt:lpstr>MIDTOWN</vt:lpstr>
      <vt:lpstr>Terrace</vt:lpstr>
      <vt:lpstr>Marshall</vt:lpstr>
      <vt:lpstr>FC TOTAL</vt:lpstr>
      <vt:lpstr>Damiano</vt:lpstr>
      <vt:lpstr>Grace</vt:lpstr>
      <vt:lpstr>Agape Home</vt:lpstr>
      <vt:lpstr>AGAPE DOS</vt:lpstr>
      <vt:lpstr>SS Total</vt:lpstr>
      <vt:lpstr>Cornerstone</vt:lpstr>
      <vt:lpstr>SPOL</vt:lpstr>
      <vt:lpstr>Hamline</vt:lpstr>
      <vt:lpstr>BlueLine</vt:lpstr>
      <vt:lpstr>MPLSHOPWA1</vt:lpstr>
      <vt:lpstr>MPLSHOPWA2</vt:lpstr>
      <vt:lpstr>Comms</vt:lpstr>
      <vt:lpstr>Fundraising</vt:lpstr>
      <vt:lpstr>Proj Dev</vt:lpstr>
      <vt:lpstr>Admin_Total</vt:lpstr>
      <vt:lpstr>Admin-Gen</vt:lpstr>
      <vt:lpstr>Admin-Board</vt:lpstr>
      <vt:lpstr>Admin-ED</vt:lpstr>
      <vt:lpstr>Agape Sale</vt:lpstr>
      <vt:lpstr>CADI</vt:lpstr>
      <vt:lpstr>HC CADI RATES Comp</vt:lpstr>
      <vt:lpstr>Sheet22</vt:lpstr>
      <vt:lpstr>Health insurance</vt:lpstr>
      <vt:lpstr>Sheet2</vt:lpstr>
      <vt:lpstr>Total!Print_Area</vt:lpstr>
      <vt:lpstr>Total!Print_Titles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acoleman</dc:creator>
  <cp:lastModifiedBy>Allan Coleman</cp:lastModifiedBy>
  <cp:lastPrinted>2015-11-10T16:03:44Z</cp:lastPrinted>
  <dcterms:created xsi:type="dcterms:W3CDTF">2014-03-11T16:10:41Z</dcterms:created>
  <dcterms:modified xsi:type="dcterms:W3CDTF">2019-11-08T16:05:25Z</dcterms:modified>
</cp:coreProperties>
</file>